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heitwhizz.sharepoint.com/Shared Documents/Testing &amp; Data/"/>
    </mc:Choice>
  </mc:AlternateContent>
  <xr:revisionPtr revIDLastSave="647" documentId="8_{CCD4957C-C8AE-4566-B251-5019CE7A0372}" xr6:coauthVersionLast="47" xr6:coauthVersionMax="47" xr10:uidLastSave="{7C1B7C9F-4757-4322-A375-E3B7B2A9208C}"/>
  <bookViews>
    <workbookView xWindow="-28920" yWindow="-60" windowWidth="29040" windowHeight="15840" xr2:uid="{893A989B-B055-4C4B-AA92-3C3C1B5480FB}"/>
  </bookViews>
  <sheets>
    <sheet name="Profit and Loss Forecast" sheetId="1" r:id="rId1"/>
    <sheet name="List" sheetId="2" state="hidden" r:id="rId2"/>
  </sheets>
  <definedNames>
    <definedName name="_xlchart.v1.0" hidden="1">'Profit and Loss Forecast'!$D$32</definedName>
    <definedName name="_xlchart.v1.1" hidden="1">'Profit and Loss Forecast'!$E$32:$AZ$32</definedName>
    <definedName name="_xlchart.v1.2" hidden="1">'Profit and Loss Forecast'!$E$9:$AZ$9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32" i="1" l="1"/>
  <c r="AY32" i="1"/>
  <c r="AX32" i="1"/>
  <c r="AW32" i="1"/>
  <c r="AV32" i="1"/>
  <c r="AU32" i="1"/>
  <c r="AT32" i="1"/>
  <c r="AS32" i="1"/>
  <c r="AR32" i="1"/>
  <c r="AQ32" i="1"/>
  <c r="AP32" i="1"/>
  <c r="AO32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Z30" i="1"/>
  <c r="AY30" i="1"/>
  <c r="AY33" i="1" s="1"/>
  <c r="AX30" i="1"/>
  <c r="AW30" i="1"/>
  <c r="AV30" i="1"/>
  <c r="AV33" i="1" s="1"/>
  <c r="AU30" i="1"/>
  <c r="AT30" i="1"/>
  <c r="AT33" i="1" s="1"/>
  <c r="AS30" i="1"/>
  <c r="AS33" i="1" s="1"/>
  <c r="AR30" i="1"/>
  <c r="AR33" i="1" s="1"/>
  <c r="AQ30" i="1"/>
  <c r="AP30" i="1"/>
  <c r="AO30" i="1"/>
  <c r="AO33" i="1" s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E31" i="1"/>
  <c r="E30" i="1"/>
  <c r="C5" i="1" l="1"/>
  <c r="D6" i="1"/>
  <c r="E6" i="1" s="1"/>
  <c r="F6" i="1" s="1"/>
  <c r="C6" i="1"/>
  <c r="C3" i="1"/>
  <c r="AZ33" i="1"/>
  <c r="AQ33" i="1"/>
  <c r="AU33" i="1"/>
  <c r="AW33" i="1"/>
  <c r="AX33" i="1"/>
  <c r="AP33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R33" i="1" s="1"/>
  <c r="S32" i="1"/>
  <c r="T32" i="1"/>
  <c r="U32" i="1"/>
  <c r="U33" i="1" s="1"/>
  <c r="V32" i="1"/>
  <c r="W32" i="1"/>
  <c r="X32" i="1"/>
  <c r="Y32" i="1"/>
  <c r="Z32" i="1"/>
  <c r="AA32" i="1"/>
  <c r="AB32" i="1"/>
  <c r="AC32" i="1"/>
  <c r="AD32" i="1"/>
  <c r="AD33" i="1" s="1"/>
  <c r="AE32" i="1"/>
  <c r="AF32" i="1"/>
  <c r="AG32" i="1"/>
  <c r="AH32" i="1"/>
  <c r="AH33" i="1" s="1"/>
  <c r="AI32" i="1"/>
  <c r="AJ32" i="1"/>
  <c r="AK32" i="1"/>
  <c r="AL32" i="1"/>
  <c r="AM32" i="1"/>
  <c r="AN32" i="1"/>
  <c r="F1" i="1"/>
  <c r="V33" i="1" l="1"/>
  <c r="AK33" i="1"/>
  <c r="Y33" i="1"/>
  <c r="AE33" i="1"/>
  <c r="S33" i="1"/>
  <c r="AJ33" i="1"/>
  <c r="X33" i="1"/>
  <c r="L33" i="1"/>
  <c r="AI33" i="1"/>
  <c r="W33" i="1"/>
  <c r="K33" i="1"/>
  <c r="AG33" i="1"/>
  <c r="AF33" i="1"/>
  <c r="T33" i="1"/>
  <c r="J33" i="1"/>
  <c r="I33" i="1"/>
  <c r="H33" i="1"/>
  <c r="AA33" i="1"/>
  <c r="M33" i="1"/>
  <c r="AC33" i="1"/>
  <c r="Q33" i="1"/>
  <c r="AN33" i="1"/>
  <c r="AB33" i="1"/>
  <c r="P33" i="1"/>
  <c r="AM33" i="1"/>
  <c r="O33" i="1"/>
  <c r="AL33" i="1"/>
  <c r="Z33" i="1"/>
  <c r="N33" i="1"/>
  <c r="G33" i="1"/>
  <c r="F33" i="1"/>
  <c r="E32" i="1"/>
  <c r="E33" i="1" s="1"/>
  <c r="D4" i="1"/>
  <c r="D5" i="1"/>
  <c r="D3" i="1" l="1"/>
  <c r="E3" i="1" l="1"/>
  <c r="F3" i="1" s="1"/>
  <c r="C4" i="1" l="1"/>
  <c r="E4" i="1" s="1"/>
  <c r="F4" i="1" s="1"/>
  <c r="E5" i="1" l="1"/>
  <c r="F5" i="1" s="1"/>
</calcChain>
</file>

<file path=xl/sharedStrings.xml><?xml version="1.0" encoding="utf-8"?>
<sst xmlns="http://schemas.openxmlformats.org/spreadsheetml/2006/main" count="172" uniqueCount="109">
  <si>
    <t>Expenses</t>
  </si>
  <si>
    <t>Gross Profit</t>
  </si>
  <si>
    <t>Gross Profit Margin</t>
  </si>
  <si>
    <t>2024 - 2025</t>
  </si>
  <si>
    <t>2025 - 2026</t>
  </si>
  <si>
    <t>2026 - 2027</t>
  </si>
  <si>
    <t>Type</t>
  </si>
  <si>
    <t>Category</t>
  </si>
  <si>
    <t xml:space="preserve"> July 2024 </t>
  </si>
  <si>
    <t xml:space="preserve"> August 2024 </t>
  </si>
  <si>
    <t xml:space="preserve"> September 2024 </t>
  </si>
  <si>
    <t xml:space="preserve"> October 2024 </t>
  </si>
  <si>
    <t xml:space="preserve"> November 2024 </t>
  </si>
  <si>
    <t xml:space="preserve"> December 2024 </t>
  </si>
  <si>
    <t xml:space="preserve"> January 2025 </t>
  </si>
  <si>
    <t xml:space="preserve"> February 2025 </t>
  </si>
  <si>
    <t xml:space="preserve"> March 2025 </t>
  </si>
  <si>
    <t xml:space="preserve"> April 2025 </t>
  </si>
  <si>
    <t xml:space="preserve"> May 2025 </t>
  </si>
  <si>
    <t xml:space="preserve"> June 2025 </t>
  </si>
  <si>
    <t xml:space="preserve"> July 2025 </t>
  </si>
  <si>
    <t xml:space="preserve"> August 2025 </t>
  </si>
  <si>
    <t xml:space="preserve"> September 2025 </t>
  </si>
  <si>
    <t xml:space="preserve"> October 2025 </t>
  </si>
  <si>
    <t xml:space="preserve"> November 2025 </t>
  </si>
  <si>
    <t xml:space="preserve"> December 2025 </t>
  </si>
  <si>
    <t xml:space="preserve"> January 2026 </t>
  </si>
  <si>
    <t xml:space="preserve"> February 2026 </t>
  </si>
  <si>
    <t xml:space="preserve"> March 2026 </t>
  </si>
  <si>
    <t xml:space="preserve"> April 2026 </t>
  </si>
  <si>
    <t xml:space="preserve"> May 2026 </t>
  </si>
  <si>
    <t xml:space="preserve"> June 2026 </t>
  </si>
  <si>
    <t xml:space="preserve"> July 2026 </t>
  </si>
  <si>
    <t xml:space="preserve"> August 2026 </t>
  </si>
  <si>
    <t xml:space="preserve"> September 2026 </t>
  </si>
  <si>
    <t xml:space="preserve"> October 2026 </t>
  </si>
  <si>
    <t xml:space="preserve"> November 2026 </t>
  </si>
  <si>
    <t xml:space="preserve"> December 2026 </t>
  </si>
  <si>
    <t xml:space="preserve"> January 2027 </t>
  </si>
  <si>
    <t xml:space="preserve"> February 2027 </t>
  </si>
  <si>
    <t xml:space="preserve"> March 2027 </t>
  </si>
  <si>
    <t xml:space="preserve"> April 2027 </t>
  </si>
  <si>
    <t xml:space="preserve"> May 2027 </t>
  </si>
  <si>
    <t xml:space="preserve"> June 2027 </t>
  </si>
  <si>
    <t>Sub-Category (optional)</t>
  </si>
  <si>
    <t>FY 2024 - 2025</t>
  </si>
  <si>
    <t>FY 2025 - 2026</t>
  </si>
  <si>
    <t>FY 2026 - 2027</t>
  </si>
  <si>
    <t>Financial Year (FY)</t>
  </si>
  <si>
    <t>Income/Revenue</t>
  </si>
  <si>
    <t>Todays Date:</t>
  </si>
  <si>
    <t>Car Payments</t>
  </si>
  <si>
    <t>Insurance</t>
  </si>
  <si>
    <t>Car Purchase</t>
  </si>
  <si>
    <t>Fuel</t>
  </si>
  <si>
    <t xml:space="preserve"> FB Marketplace </t>
  </si>
  <si>
    <t xml:space="preserve"> Dog sitting </t>
  </si>
  <si>
    <t xml:space="preserve"> Café Job </t>
  </si>
  <si>
    <t xml:space="preserve"> Salary </t>
  </si>
  <si>
    <t xml:space="preserve"> Tips </t>
  </si>
  <si>
    <t xml:space="preserve"> Utilities </t>
  </si>
  <si>
    <t xml:space="preserve"> Electricity </t>
  </si>
  <si>
    <t xml:space="preserve"> Gas </t>
  </si>
  <si>
    <t xml:space="preserve"> Internet </t>
  </si>
  <si>
    <t xml:space="preserve"> Water </t>
  </si>
  <si>
    <t xml:space="preserve"> Subscriptions </t>
  </si>
  <si>
    <t xml:space="preserve"> Netflix </t>
  </si>
  <si>
    <t xml:space="preserve"> Spotify </t>
  </si>
  <si>
    <t xml:space="preserve"> Shopping </t>
  </si>
  <si>
    <t xml:space="preserve"> Amazon </t>
  </si>
  <si>
    <t xml:space="preserve"> Groceries </t>
  </si>
  <si>
    <t xml:space="preserve"> Rent </t>
  </si>
  <si>
    <t xml:space="preserve"> July 2025</t>
  </si>
  <si>
    <t xml:space="preserve"> August 2025</t>
  </si>
  <si>
    <t xml:space="preserve"> September 2025</t>
  </si>
  <si>
    <t>Loan</t>
  </si>
  <si>
    <t>Registration</t>
  </si>
  <si>
    <t>Totals</t>
  </si>
  <si>
    <t>FY 2027 - 2028</t>
  </si>
  <si>
    <t xml:space="preserve"> June 2026 13</t>
  </si>
  <si>
    <t xml:space="preserve"> August 2024</t>
  </si>
  <si>
    <t xml:space="preserve"> September 2024</t>
  </si>
  <si>
    <t xml:space="preserve"> October 2024</t>
  </si>
  <si>
    <t xml:space="preserve"> November 2024</t>
  </si>
  <si>
    <t xml:space="preserve"> December 2024</t>
  </si>
  <si>
    <t xml:space="preserve"> January 2025</t>
  </si>
  <si>
    <t xml:space="preserve"> February 2025</t>
  </si>
  <si>
    <t xml:space="preserve"> March 2025</t>
  </si>
  <si>
    <t xml:space="preserve"> April 2025</t>
  </si>
  <si>
    <t xml:space="preserve"> May 2025</t>
  </si>
  <si>
    <t xml:space="preserve"> June 2025</t>
  </si>
  <si>
    <t xml:space="preserve"> October 2025</t>
  </si>
  <si>
    <t xml:space="preserve"> November 2025</t>
  </si>
  <si>
    <t xml:space="preserve"> December 2025</t>
  </si>
  <si>
    <t xml:space="preserve"> January 2026</t>
  </si>
  <si>
    <t xml:space="preserve"> February 2026</t>
  </si>
  <si>
    <t xml:space="preserve"> July 2027</t>
  </si>
  <si>
    <t xml:space="preserve"> August 2027</t>
  </si>
  <si>
    <t xml:space="preserve"> September 2027</t>
  </si>
  <si>
    <t xml:space="preserve"> October 2027</t>
  </si>
  <si>
    <t xml:space="preserve"> November 2027</t>
  </si>
  <si>
    <t xml:space="preserve"> December 2027</t>
  </si>
  <si>
    <t xml:space="preserve"> January 2028</t>
  </si>
  <si>
    <t xml:space="preserve"> February 2028</t>
  </si>
  <si>
    <t xml:space="preserve"> March 2028</t>
  </si>
  <si>
    <t xml:space="preserve"> April 2028</t>
  </si>
  <si>
    <t xml:space="preserve"> May 2028</t>
  </si>
  <si>
    <t xml:space="preserve"> June 2028</t>
  </si>
  <si>
    <t>2027-2028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</si>
</sst>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2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 tint="0.1499984740745262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sz val="8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0" fontId="2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center" vertical="center"/>
    </xf>
    <xf numFmtId="44" fontId="0" fillId="3" borderId="5" xfId="1" applyFont="1" applyFill="1" applyBorder="1" applyAlignment="1">
      <alignment horizontal="center" vertical="center"/>
    </xf>
    <xf numFmtId="44" fontId="0" fillId="2" borderId="0" xfId="1" applyFont="1" applyFill="1" applyAlignment="1">
      <alignment horizontal="center" vertical="center"/>
    </xf>
    <xf numFmtId="44" fontId="9" fillId="2" borderId="0" xfId="1" applyFont="1" applyFill="1"/>
    <xf numFmtId="44" fontId="9" fillId="2" borderId="0" xfId="1" applyFont="1" applyFill="1" applyAlignment="1">
      <alignment horizontal="center" vertical="center" wrapText="1"/>
    </xf>
    <xf numFmtId="14" fontId="0" fillId="2" borderId="0" xfId="0" applyNumberFormat="1" applyFill="1"/>
    <xf numFmtId="14" fontId="0" fillId="2" borderId="0" xfId="0" applyNumberFormat="1" applyFill="1" applyAlignment="1">
      <alignment horizontal="center" vertical="center" wrapText="1"/>
    </xf>
    <xf numFmtId="164" fontId="2" fillId="2" borderId="0" xfId="0" applyNumberFormat="1" applyFont="1" applyFill="1"/>
    <xf numFmtId="10" fontId="2" fillId="2" borderId="0" xfId="0" applyNumberFormat="1" applyFont="1" applyFill="1"/>
    <xf numFmtId="44" fontId="2" fillId="2" borderId="0" xfId="0" applyNumberFormat="1" applyFont="1" applyFill="1" applyAlignment="1">
      <alignment horizontal="center" vertical="center"/>
    </xf>
    <xf numFmtId="44" fontId="0" fillId="2" borderId="0" xfId="0" applyNumberFormat="1" applyFill="1" applyAlignment="1">
      <alignment horizontal="center" vertical="center"/>
    </xf>
    <xf numFmtId="44" fontId="8" fillId="2" borderId="2" xfId="1" applyFont="1" applyFill="1" applyBorder="1" applyAlignment="1">
      <alignment horizontal="left" vertical="center" wrapText="1"/>
    </xf>
    <xf numFmtId="44" fontId="8" fillId="2" borderId="5" xfId="1" applyFont="1" applyFill="1" applyBorder="1" applyAlignment="1">
      <alignment horizontal="left" vertical="center" wrapText="1"/>
    </xf>
    <xf numFmtId="44" fontId="10" fillId="4" borderId="1" xfId="1" applyFont="1" applyFill="1" applyBorder="1" applyAlignment="1">
      <alignment horizontal="center" vertical="center"/>
    </xf>
    <xf numFmtId="44" fontId="10" fillId="4" borderId="2" xfId="1" applyFont="1" applyFill="1" applyBorder="1" applyAlignment="1">
      <alignment horizontal="center" vertical="center"/>
    </xf>
    <xf numFmtId="44" fontId="0" fillId="3" borderId="11" xfId="1" applyFont="1" applyFill="1" applyBorder="1" applyAlignment="1">
      <alignment horizontal="center" vertical="center"/>
    </xf>
    <xf numFmtId="10" fontId="0" fillId="3" borderId="11" xfId="2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vertical="center" wrapText="1"/>
    </xf>
    <xf numFmtId="14" fontId="16" fillId="2" borderId="0" xfId="0" applyNumberFormat="1" applyFont="1" applyFill="1" applyAlignment="1">
      <alignment horizontal="right" vertical="center"/>
    </xf>
    <xf numFmtId="14" fontId="16" fillId="2" borderId="0" xfId="0" applyNumberFormat="1" applyFont="1" applyFill="1" applyAlignment="1">
      <alignment horizontal="left" vertical="center"/>
    </xf>
    <xf numFmtId="44" fontId="9" fillId="2" borderId="0" xfId="1" applyFont="1" applyFill="1" applyAlignment="1"/>
    <xf numFmtId="44" fontId="9" fillId="2" borderId="12" xfId="1" applyFont="1" applyFill="1" applyBorder="1" applyAlignment="1"/>
    <xf numFmtId="8" fontId="0" fillId="3" borderId="5" xfId="1" applyNumberFormat="1" applyFont="1" applyFill="1" applyBorder="1" applyAlignment="1">
      <alignment horizontal="center" vertical="center"/>
    </xf>
    <xf numFmtId="44" fontId="7" fillId="2" borderId="3" xfId="1" applyFont="1" applyFill="1" applyBorder="1" applyAlignment="1">
      <alignment horizontal="center" vertical="center" wrapText="1"/>
    </xf>
    <xf numFmtId="0" fontId="0" fillId="0" borderId="2" xfId="0" applyBorder="1"/>
    <xf numFmtId="44" fontId="17" fillId="4" borderId="1" xfId="1" applyFont="1" applyFill="1" applyBorder="1" applyAlignment="1">
      <alignment horizontal="center" vertical="center"/>
    </xf>
    <xf numFmtId="164" fontId="11" fillId="2" borderId="4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10" fontId="11" fillId="2" borderId="4" xfId="0" applyNumberFormat="1" applyFont="1" applyFill="1" applyBorder="1" applyAlignment="1">
      <alignment horizontal="center" vertical="center" wrapText="1"/>
    </xf>
    <xf numFmtId="164" fontId="3" fillId="3" borderId="2" xfId="1" applyNumberFormat="1" applyFont="1" applyFill="1" applyBorder="1" applyAlignment="1">
      <alignment horizontal="center" vertical="center"/>
    </xf>
    <xf numFmtId="9" fontId="3" fillId="3" borderId="2" xfId="2" applyFont="1" applyFill="1" applyBorder="1" applyAlignment="1">
      <alignment horizontal="center" vertical="center"/>
    </xf>
    <xf numFmtId="44" fontId="3" fillId="3" borderId="1" xfId="1" applyFont="1" applyFill="1" applyBorder="1" applyAlignment="1">
      <alignment horizontal="center" vertical="center"/>
    </xf>
    <xf numFmtId="1" fontId="3" fillId="3" borderId="1" xfId="1" applyNumberFormat="1" applyFont="1" applyFill="1" applyBorder="1" applyAlignment="1">
      <alignment horizontal="center" vertical="center"/>
    </xf>
    <xf numFmtId="44" fontId="5" fillId="6" borderId="9" xfId="1" applyFont="1" applyFill="1" applyBorder="1" applyAlignment="1">
      <alignment horizontal="center" vertical="center"/>
    </xf>
    <xf numFmtId="44" fontId="5" fillId="6" borderId="10" xfId="1" applyFont="1" applyFill="1" applyBorder="1" applyAlignment="1">
      <alignment horizontal="center" vertical="center"/>
    </xf>
    <xf numFmtId="14" fontId="5" fillId="6" borderId="10" xfId="1" applyNumberFormat="1" applyFont="1" applyFill="1" applyBorder="1" applyAlignment="1">
      <alignment horizontal="center" vertical="center"/>
    </xf>
    <xf numFmtId="44" fontId="5" fillId="6" borderId="5" xfId="1" applyFont="1" applyFill="1" applyBorder="1" applyAlignment="1">
      <alignment horizontal="center" vertical="center"/>
    </xf>
    <xf numFmtId="44" fontId="10" fillId="6" borderId="1" xfId="1" applyFont="1" applyFill="1" applyBorder="1" applyAlignment="1">
      <alignment horizontal="center" vertical="center"/>
    </xf>
    <xf numFmtId="44" fontId="10" fillId="6" borderId="2" xfId="1" applyFont="1" applyFill="1" applyBorder="1" applyAlignment="1">
      <alignment horizontal="center" vertical="center"/>
    </xf>
    <xf numFmtId="1" fontId="14" fillId="6" borderId="6" xfId="1" applyNumberFormat="1" applyFont="1" applyFill="1" applyBorder="1" applyAlignment="1">
      <alignment horizontal="center" vertical="center"/>
    </xf>
    <xf numFmtId="1" fontId="14" fillId="6" borderId="7" xfId="1" applyNumberFormat="1" applyFont="1" applyFill="1" applyBorder="1" applyAlignment="1">
      <alignment horizontal="center" vertical="center"/>
    </xf>
    <xf numFmtId="1" fontId="14" fillId="6" borderId="8" xfId="1" applyNumberFormat="1" applyFont="1" applyFill="1" applyBorder="1" applyAlignment="1">
      <alignment horizontal="center" vertical="center"/>
    </xf>
    <xf numFmtId="1" fontId="15" fillId="5" borderId="2" xfId="1" applyNumberFormat="1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65">
    <dxf>
      <font>
        <color theme="1" tint="0.14996795556505021"/>
      </font>
      <fill>
        <patternFill>
          <bgColor rgb="FFFEF0F0"/>
        </patternFill>
      </fill>
    </dxf>
    <dxf>
      <font>
        <color theme="1" tint="0.14996795556505021"/>
      </font>
      <fill>
        <patternFill>
          <bgColor theme="9" tint="0.79998168889431442"/>
        </patternFill>
      </fill>
    </dxf>
    <dxf>
      <font>
        <color theme="1" tint="0.14996795556505021"/>
      </font>
      <fill>
        <patternFill>
          <bgColor rgb="FFFEF0F0"/>
        </patternFill>
      </fill>
    </dxf>
    <dxf>
      <font>
        <color theme="1" tint="0.14996795556505021"/>
      </font>
      <fill>
        <patternFill>
          <bgColor theme="9" tint="0.79998168889431442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2" formatCode="&quot;$&quot;#,##0.00;[Red]\-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2" formatCode="&quot;$&quot;#,##0.00;[Red]\-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2" formatCode="&quot;$&quot;#,##0.00;[Red]\-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2" formatCode="&quot;$&quot;#,##0.00;[Red]\-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2" formatCode="&quot;$&quot;#,##0.00;[Red]\-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2" formatCode="&quot;$&quot;#,##0.00;[Red]\-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2" formatCode="&quot;$&quot;#,##0.00;[Red]\-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2" formatCode="&quot;$&quot;#,##0.00;[Red]\-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2" formatCode="&quot;$&quot;#,##0.00;[Red]\-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2" formatCode="&quot;$&quot;#,##0.00;[Red]\-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2" formatCode="&quot;$&quot;#,##0.00;[Red]\-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2" formatCode="&quot;$&quot;#,##0.00;[Red]\-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Aptos Narrow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Aptos Narrow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_xlchart.v1.2</cx:f>
      </cx:strDim>
      <cx:numDim type="val">
        <cx:f dir="row">_xlchart.v1.1</cx:f>
      </cx:numDim>
    </cx:data>
  </cx:chartData>
  <cx:chart>
    <cx:title pos="t" align="ctr" overlay="0">
      <cx:tx>
        <cx:txData>
          <cx:v>Profit/Loss Forecast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ptos Narrow" panose="02110004020202020204"/>
            </a:rPr>
            <a:t>Profit/Loss Forecast</a:t>
          </a:r>
        </a:p>
      </cx:txPr>
    </cx:title>
    <cx:plotArea>
      <cx:plotAreaRegion>
        <cx:plotSurface>
          <cx:spPr>
            <a:solidFill>
              <a:schemeClr val="bg1">
                <a:alpha val="35000"/>
              </a:schemeClr>
            </a:solidFill>
          </cx:spPr>
        </cx:plotSurface>
        <cx:series layoutId="waterfall" uniqueId="{51752B25-A121-480F-81CB-676EF48FB52B}">
          <cx:tx>
            <cx:txData>
              <cx:f>_xlchart.v1.0</cx:f>
              <cx:v>Gross Profit</cx:v>
            </cx:txData>
          </cx:tx>
          <cx:dataId val="0"/>
          <cx:layoutPr>
            <cx:subtotals/>
          </cx:layoutPr>
        </cx:series>
      </cx:plotAreaRegion>
      <cx:axis id="0">
        <cx:catScaling gapWidth="0.5"/>
        <cx:majorGridlines>
          <cx:spPr>
            <a:ln w="12700">
              <a:solidFill>
                <a:schemeClr val="bg2">
                  <a:lumMod val="50000"/>
                  <a:alpha val="39000"/>
                </a:schemeClr>
              </a:solidFill>
            </a:ln>
          </cx:spPr>
        </cx:majorGridlines>
        <cx:tickLabels/>
        <cx:txPr>
          <a:bodyPr vertOverflow="overflow" horzOverflow="overflow" wrap="square" lIns="0" tIns="0" rIns="0" bIns="0"/>
          <a:lstStyle/>
          <a:p>
            <a:pPr algn="ctr" rtl="0">
              <a:defRPr sz="8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sz="800"/>
          </a:p>
        </cx:txPr>
      </cx:axis>
      <cx:axis id="1">
        <cx:valScaling/>
        <cx:majorGridlines/>
        <cx:tickLabels/>
        <cx:numFmt formatCode="$#,##0" sourceLinked="0"/>
        <cx:txPr>
          <a:bodyPr vertOverflow="overflow" horzOverflow="overflow" wrap="square" lIns="0" tIns="0" rIns="0" bIns="0"/>
          <a:lstStyle/>
          <a:p>
            <a:pPr algn="ctr" rtl="0">
              <a:defRPr sz="1200" b="0" i="0">
                <a:solidFill>
                  <a:srgbClr val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sz="1200" b="0"/>
          </a:p>
        </cx:txPr>
      </cx:axis>
    </cx:plotArea>
  </cx:chart>
  <cx:spPr>
    <a:noFill/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133351</xdr:rowOff>
    </xdr:from>
    <xdr:to>
      <xdr:col>15</xdr:col>
      <xdr:colOff>428625</xdr:colOff>
      <xdr:row>6</xdr:row>
      <xdr:rowOff>790575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4">
              <a:extLst>
                <a:ext uri="{FF2B5EF4-FFF2-40B4-BE49-F238E27FC236}">
                  <a16:creationId xmlns:a16="http://schemas.microsoft.com/office/drawing/2014/main" id="{77088DE7-3D15-4A9C-A92F-85A06E74E4C0}"/>
                </a:ext>
                <a:ext uri="{147F2762-F138-4A5C-976F-8EAC2B608ADB}">
                  <a16:predDERef xmlns:a16="http://schemas.microsoft.com/office/drawing/2014/main" pred="{37371F72-63BC-2A6A-E8DA-BF329B9E961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34175" y="133351"/>
              <a:ext cx="10125075" cy="292417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AU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absoluteAnchor>
    <xdr:pos x="2390776" y="104775"/>
    <xdr:ext cx="1771650" cy="56197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E08F843-17CC-48EA-8BB6-7DDCCF2D24E6}"/>
            </a:ext>
            <a:ext uri="{147F2762-F138-4A5C-976F-8EAC2B608ADB}">
              <a16:predDERef xmlns:a16="http://schemas.microsoft.com/office/drawing/2014/main" pred="{C7069D5C-164E-3C1A-45AB-12BCC19030C8}"/>
            </a:ext>
          </a:extLst>
        </xdr:cNvPr>
        <xdr:cNvSpPr txBox="1">
          <a:spLocks noChangeAspect="1"/>
        </xdr:cNvSpPr>
      </xdr:nvSpPr>
      <xdr:spPr>
        <a:xfrm>
          <a:off x="2390776" y="104775"/>
          <a:ext cx="1771650" cy="5619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>
              <a:solidFill>
                <a:schemeClr val="tx1">
                  <a:lumMod val="75000"/>
                  <a:lumOff val="25000"/>
                </a:schemeClr>
              </a:solidFill>
              <a:latin typeface="Aharoni" panose="02010803020104030203" pitchFamily="2" charset="-79"/>
              <a:cs typeface="Aharoni" panose="02010803020104030203" pitchFamily="2" charset="-79"/>
            </a:rPr>
            <a:t>Profit and Loss Forecast</a:t>
          </a:r>
        </a:p>
      </xdr:txBody>
    </xdr:sp>
    <xdr:clientData/>
  </xdr:absoluteAnchor>
  <xdr:twoCellAnchor editAs="oneCell">
    <xdr:from>
      <xdr:col>1</xdr:col>
      <xdr:colOff>57151</xdr:colOff>
      <xdr:row>0</xdr:row>
      <xdr:rowOff>104776</xdr:rowOff>
    </xdr:from>
    <xdr:to>
      <xdr:col>2</xdr:col>
      <xdr:colOff>628651</xdr:colOff>
      <xdr:row>0</xdr:row>
      <xdr:rowOff>585788</xdr:rowOff>
    </xdr:to>
    <xdr:pic>
      <xdr:nvPicPr>
        <xdr:cNvPr id="7" name="Graphic 6">
          <a:extLst>
            <a:ext uri="{FF2B5EF4-FFF2-40B4-BE49-F238E27FC236}">
              <a16:creationId xmlns:a16="http://schemas.microsoft.com/office/drawing/2014/main" id="{C8396232-3B5E-CB1B-7BDD-5E4238383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6701" y="104776"/>
          <a:ext cx="1924050" cy="48101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0AFD85-DC9B-471E-849E-BA2A67029115}" name="Table1" displayName="Table1" ref="B9:AZ27" totalsRowShown="0" headerRowDxfId="64" dataDxfId="62" headerRowBorderDxfId="63" tableBorderDxfId="61" headerRowCellStyle="Currency" dataCellStyle="Currency">
  <autoFilter ref="B9:AZ27" xr:uid="{300AFD85-DC9B-471E-849E-BA2A67029115}"/>
  <sortState xmlns:xlrd2="http://schemas.microsoft.com/office/spreadsheetml/2017/richdata2" ref="B10:AN27">
    <sortCondition descending="1" ref="B9:B27"/>
  </sortState>
  <tableColumns count="51">
    <tableColumn id="1" xr3:uid="{EC183923-6DF3-421C-856A-CE6955027F23}" name="Type" dataDxfId="60" dataCellStyle="Currency"/>
    <tableColumn id="2" xr3:uid="{E2FA7006-B46D-41D9-A154-AE8766881D26}" name="Category" dataDxfId="59" dataCellStyle="Currency"/>
    <tableColumn id="3" xr3:uid="{BFA71648-2C81-4B7E-B18F-2F2701242402}" name="Sub-Category (optional)" dataDxfId="58" dataCellStyle="Currency"/>
    <tableColumn id="4" xr3:uid="{4222303C-E376-42B0-9386-D77735BE2347}" name=" July 2024 " dataDxfId="57" dataCellStyle="Currency"/>
    <tableColumn id="5" xr3:uid="{F49BF67D-4AFE-496D-B5D1-EA747E566CA3}" name=" August 2024" dataDxfId="56" dataCellStyle="Currency"/>
    <tableColumn id="6" xr3:uid="{0B15D295-0984-4587-B555-E19923FF1E87}" name=" September 2024" dataDxfId="55" dataCellStyle="Currency"/>
    <tableColumn id="7" xr3:uid="{15AA3AAC-E2FE-44E0-BBB6-BA1139EB1EE7}" name=" October 2024" dataDxfId="54" dataCellStyle="Currency"/>
    <tableColumn id="8" xr3:uid="{15F6DCAB-4514-452E-A6F7-FE05946B5255}" name=" November 2024" dataDxfId="53" dataCellStyle="Currency"/>
    <tableColumn id="9" xr3:uid="{3B4D5FA0-CBB7-4DCE-9A50-CE5E2F3D98FF}" name=" December 2024" dataDxfId="52" dataCellStyle="Currency"/>
    <tableColumn id="10" xr3:uid="{EE93FB51-9E4E-4EC0-9AC1-241732EA2B32}" name=" January 2025" dataDxfId="51" dataCellStyle="Currency"/>
    <tableColumn id="11" xr3:uid="{A1FA3E86-AC61-4D17-A66D-42A941F992E2}" name=" February 2025" dataDxfId="50" dataCellStyle="Currency"/>
    <tableColumn id="12" xr3:uid="{88BAE052-8AC6-40D5-A7BB-569A477E7FD3}" name=" March 2025" dataDxfId="49" dataCellStyle="Currency"/>
    <tableColumn id="13" xr3:uid="{8FD19E7C-FA2E-4B4E-ADA4-45785E409276}" name=" April 2025" dataDxfId="48" dataCellStyle="Currency"/>
    <tableColumn id="14" xr3:uid="{583FFACD-4AF1-4B92-A77B-4CA5E338D93C}" name=" May 2025" dataDxfId="47" dataCellStyle="Currency"/>
    <tableColumn id="15" xr3:uid="{667A5E9E-C3CE-4AB8-82FA-36A87539AF66}" name=" June 2025" dataDxfId="46" dataCellStyle="Currency"/>
    <tableColumn id="16" xr3:uid="{7DD32A9C-2EC4-44BD-B4A1-B16BF8D7A8C5}" name=" July 2025" dataDxfId="45" dataCellStyle="Currency"/>
    <tableColumn id="17" xr3:uid="{75AA5B39-C22A-474B-8A2E-452D286B93B2}" name=" August 2025" dataDxfId="44" dataCellStyle="Currency"/>
    <tableColumn id="18" xr3:uid="{E5607D0C-8940-4DFB-A7D5-AA754C74B910}" name=" September 2025" dataDxfId="43" dataCellStyle="Currency"/>
    <tableColumn id="19" xr3:uid="{67561C52-4FF3-402B-8A16-D7D65D4CB6F4}" name=" October 2025" dataDxfId="42" dataCellStyle="Currency"/>
    <tableColumn id="20" xr3:uid="{26F0B7E0-9E31-4473-814E-A18CFD44A7E5}" name=" November 2025" dataDxfId="41" dataCellStyle="Currency"/>
    <tableColumn id="21" xr3:uid="{1A8FC2A9-692B-4891-951E-9C43B1948AE2}" name=" December 2025" dataDxfId="40" dataCellStyle="Currency"/>
    <tableColumn id="22" xr3:uid="{23922A5A-BD54-4796-8AE5-BD350BC938D2}" name=" January 2026" dataDxfId="39" dataCellStyle="Currency"/>
    <tableColumn id="23" xr3:uid="{80CF1338-34B7-4F16-A8FA-8B6C0936EF26}" name=" February 2026" dataDxfId="38" dataCellStyle="Currency"/>
    <tableColumn id="24" xr3:uid="{3D738BF4-D347-4550-AAC9-F650A3CD91E8}" name=" March 2026 " dataDxfId="37" dataCellStyle="Currency"/>
    <tableColumn id="25" xr3:uid="{97D900E5-69A7-4413-BAFC-E9FB25291292}" name=" April 2026 " dataDxfId="36" dataCellStyle="Currency"/>
    <tableColumn id="26" xr3:uid="{A378B3A2-FFB4-4293-82F5-2428F1649403}" name=" May 2026 " dataDxfId="35" dataCellStyle="Currency"/>
    <tableColumn id="27" xr3:uid="{E2FF9325-9D5E-4523-A75D-F155CE9363CB}" name=" June 2026 13" dataDxfId="34" dataCellStyle="Currency"/>
    <tableColumn id="28" xr3:uid="{95757AEB-DB31-45F0-8640-429CEFCD0123}" name=" July 2026 " dataDxfId="33" dataCellStyle="Currency"/>
    <tableColumn id="29" xr3:uid="{1796C634-9609-427B-AF66-E78A6F84BFD6}" name=" August 2026 " dataDxfId="32" dataCellStyle="Currency"/>
    <tableColumn id="30" xr3:uid="{938824A1-B381-48CE-A772-BFEE7DD9DAED}" name=" September 2026 " dataDxfId="31" dataCellStyle="Currency"/>
    <tableColumn id="31" xr3:uid="{5A4D4243-D130-45DC-9D61-CF392C4C06E3}" name=" October 2026 " dataDxfId="30" dataCellStyle="Currency"/>
    <tableColumn id="32" xr3:uid="{5A8FFCFF-0052-474E-B3B6-0086F1169911}" name=" November 2026 " dataDxfId="29" dataCellStyle="Currency"/>
    <tableColumn id="33" xr3:uid="{7A80C1EA-C547-459C-A5E5-66CCCECCF212}" name=" December 2026 " dataDxfId="28" dataCellStyle="Currency"/>
    <tableColumn id="34" xr3:uid="{7DF97476-2615-4B75-BF80-D94CE326DE51}" name=" January 2027 " dataDxfId="27" dataCellStyle="Currency"/>
    <tableColumn id="35" xr3:uid="{3B0332BB-5B95-42ED-B2D6-4CA3C6953FF0}" name=" February 2027 " dataDxfId="26" dataCellStyle="Currency"/>
    <tableColumn id="36" xr3:uid="{B35DD1EF-88B5-4366-B9AB-515053365E03}" name=" March 2027 " dataDxfId="25" dataCellStyle="Currency"/>
    <tableColumn id="37" xr3:uid="{D4D37F23-8D7D-48B4-8E4B-3A6BE6AC0483}" name=" April 2027 " dataDxfId="24" dataCellStyle="Currency"/>
    <tableColumn id="38" xr3:uid="{1736D489-A94F-415D-8F4B-60E69757A3C9}" name=" May 2027 " dataDxfId="23" dataCellStyle="Currency"/>
    <tableColumn id="39" xr3:uid="{F9565B10-3693-4625-AC1F-21A64DBECB23}" name=" June 2027 " dataDxfId="22" dataCellStyle="Currency"/>
    <tableColumn id="40" xr3:uid="{085F16DC-5B93-497D-A295-3DF42D61865A}" name=" July 2027" dataDxfId="21" dataCellStyle="Currency"/>
    <tableColumn id="41" xr3:uid="{F25CE0D6-E176-4C37-85AD-ECC039A18EFD}" name=" August 2027" dataDxfId="20" dataCellStyle="Currency"/>
    <tableColumn id="42" xr3:uid="{E5283916-8B60-4DC8-A824-512AFFB5F51A}" name=" September 2027" dataDxfId="19" dataCellStyle="Currency"/>
    <tableColumn id="43" xr3:uid="{AE5B882A-79E0-4B43-9545-5561DC189507}" name=" October 2027" dataDxfId="18" dataCellStyle="Currency"/>
    <tableColumn id="44" xr3:uid="{2B271A9D-8C53-4B0A-9D59-64BBB8BA1708}" name=" November 2027" dataDxfId="17" dataCellStyle="Currency"/>
    <tableColumn id="45" xr3:uid="{D470FD26-F41F-4FFA-AD35-2985783ACA5B}" name=" December 2027" dataDxfId="16" dataCellStyle="Currency"/>
    <tableColumn id="46" xr3:uid="{39672FE3-D4D7-4361-B367-85D72423AEE5}" name=" January 2028" dataDxfId="15" dataCellStyle="Currency"/>
    <tableColumn id="47" xr3:uid="{9A0C5484-9193-4ED9-AE8E-672324059FB5}" name=" February 2028" dataDxfId="14" dataCellStyle="Currency"/>
    <tableColumn id="48" xr3:uid="{EEA64C80-132E-4E0A-9A4F-59505A92C199}" name=" March 2028" dataDxfId="13" dataCellStyle="Currency"/>
    <tableColumn id="49" xr3:uid="{718A2F87-1775-40F9-9C77-DC62E1F7EAB2}" name=" April 2028" dataDxfId="12" dataCellStyle="Currency"/>
    <tableColumn id="50" xr3:uid="{7E6F7804-3785-4C19-9553-14F7FB14B1EA}" name=" May 2028" dataDxfId="11" dataCellStyle="Currency"/>
    <tableColumn id="51" xr3:uid="{AC80B65D-6D2A-4C5F-93F6-3CD66D778882}" name=" June 2028" dataDxfId="10" dataCellStyle="Curr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E30AB-0C3D-4787-A6A3-3EECEFFB0265}">
  <dimension ref="B1:AZ35"/>
  <sheetViews>
    <sheetView tabSelected="1" zoomScaleNormal="100" workbookViewId="0">
      <pane xSplit="4" ySplit="9" topLeftCell="E10" activePane="bottomRight" state="frozen"/>
      <selection pane="topRight" activeCell="E1" sqref="E1"/>
      <selection pane="bottomLeft" activeCell="A9" sqref="A9"/>
      <selection pane="bottomRight" activeCell="C7" sqref="C7"/>
    </sheetView>
  </sheetViews>
  <sheetFormatPr defaultColWidth="9.140625" defaultRowHeight="18.75" customHeight="1" x14ac:dyDescent="0.25"/>
  <cols>
    <col min="1" max="1" width="3.140625" style="1" customWidth="1"/>
    <col min="2" max="2" width="20.28515625" style="1" customWidth="1"/>
    <col min="3" max="3" width="20.28515625" style="2" customWidth="1"/>
    <col min="4" max="4" width="20.42578125" style="3" customWidth="1"/>
    <col min="5" max="5" width="17.140625" style="4" customWidth="1"/>
    <col min="6" max="6" width="18" style="4" customWidth="1"/>
    <col min="7" max="7" width="17.7109375" style="4" customWidth="1"/>
    <col min="8" max="8" width="15.85546875" style="5" customWidth="1"/>
    <col min="9" max="10" width="17.140625" style="5" customWidth="1"/>
    <col min="11" max="18" width="15.85546875" style="1" customWidth="1"/>
    <col min="19" max="19" width="17.7109375" style="1" customWidth="1"/>
    <col min="20" max="20" width="15.85546875" style="1" customWidth="1"/>
    <col min="21" max="22" width="17.140625" style="1" customWidth="1"/>
    <col min="23" max="30" width="15.85546875" style="1" customWidth="1"/>
    <col min="31" max="31" width="17.7109375" style="1" customWidth="1"/>
    <col min="32" max="32" width="15.85546875" style="1" customWidth="1"/>
    <col min="33" max="34" width="17.140625" style="1" customWidth="1"/>
    <col min="35" max="42" width="15.85546875" style="1" customWidth="1"/>
    <col min="43" max="43" width="17.7109375" style="1" customWidth="1"/>
    <col min="44" max="44" width="15.85546875" style="1" customWidth="1"/>
    <col min="45" max="46" width="17.140625" style="1" customWidth="1"/>
    <col min="47" max="52" width="15.85546875" style="1" customWidth="1"/>
    <col min="53" max="16384" width="9.140625" style="1"/>
  </cols>
  <sheetData>
    <row r="1" spans="2:52" ht="57" customHeight="1" x14ac:dyDescent="0.25">
      <c r="E1" s="28" t="s">
        <v>50</v>
      </c>
      <c r="F1" s="29">
        <f ca="1">TODAY()</f>
        <v>45757</v>
      </c>
    </row>
    <row r="2" spans="2:52" s="8" customFormat="1" ht="22.5" customHeight="1" x14ac:dyDescent="0.2">
      <c r="B2" s="47" t="s">
        <v>48</v>
      </c>
      <c r="C2" s="47" t="s">
        <v>49</v>
      </c>
      <c r="D2" s="47" t="s">
        <v>0</v>
      </c>
      <c r="E2" s="47" t="s">
        <v>1</v>
      </c>
      <c r="F2" s="48" t="s">
        <v>2</v>
      </c>
      <c r="H2" s="4"/>
      <c r="I2" s="4"/>
      <c r="J2" s="4"/>
      <c r="O2" s="4"/>
      <c r="P2" s="4"/>
      <c r="Q2" s="4"/>
      <c r="R2" s="4"/>
      <c r="S2" s="4"/>
      <c r="T2" s="4"/>
      <c r="U2" s="4"/>
      <c r="V2" s="4"/>
      <c r="AA2" s="4"/>
      <c r="AB2" s="4"/>
      <c r="AC2" s="4"/>
      <c r="AD2" s="4"/>
      <c r="AE2" s="4"/>
      <c r="AF2" s="4"/>
      <c r="AG2" s="4"/>
      <c r="AH2" s="4"/>
      <c r="AO2" s="4"/>
      <c r="AP2" s="4"/>
      <c r="AQ2" s="4"/>
      <c r="AR2" s="4"/>
      <c r="AS2" s="4"/>
      <c r="AT2" s="4"/>
    </row>
    <row r="3" spans="2:52" s="7" customFormat="1" ht="24.75" customHeight="1" x14ac:dyDescent="0.25">
      <c r="B3" s="41" t="s">
        <v>3</v>
      </c>
      <c r="C3" s="39">
        <f>SUM(E30:P30)</f>
        <v>34340</v>
      </c>
      <c r="D3" s="39">
        <f>SUM(E31:P31)</f>
        <v>-27620.969999999998</v>
      </c>
      <c r="E3" s="39">
        <f>C3+D3</f>
        <v>6719.0300000000025</v>
      </c>
      <c r="F3" s="40">
        <f>IFERROR(E3/C3,0)</f>
        <v>0.19566191030867799</v>
      </c>
    </row>
    <row r="4" spans="2:52" s="7" customFormat="1" ht="24.75" customHeight="1" x14ac:dyDescent="0.25">
      <c r="B4" s="42" t="s">
        <v>4</v>
      </c>
      <c r="C4" s="39">
        <f>SUM(Q30:AB30)</f>
        <v>34340</v>
      </c>
      <c r="D4" s="39">
        <f>SUM(Q31:AB31)</f>
        <v>-25873.4</v>
      </c>
      <c r="E4" s="39">
        <f>C4+D4</f>
        <v>8466.5999999999985</v>
      </c>
      <c r="F4" s="40">
        <f t="shared" ref="F4:F5" si="0">IFERROR(E4/C4,0)</f>
        <v>0.24655212580081534</v>
      </c>
    </row>
    <row r="5" spans="2:52" s="6" customFormat="1" ht="24.75" customHeight="1" x14ac:dyDescent="0.25">
      <c r="B5" s="42" t="s">
        <v>5</v>
      </c>
      <c r="C5" s="39">
        <f>SUM(AC30:AN30)</f>
        <v>34340</v>
      </c>
      <c r="D5" s="39">
        <f>SUM(AC31:AN31)</f>
        <v>-25969.83</v>
      </c>
      <c r="E5" s="39">
        <f>C5+D5</f>
        <v>8370.1699999999983</v>
      </c>
      <c r="F5" s="40">
        <f t="shared" si="0"/>
        <v>0.24374403028538144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O5" s="7"/>
      <c r="AP5" s="7"/>
      <c r="AQ5" s="7"/>
      <c r="AR5" s="7"/>
      <c r="AS5" s="7"/>
      <c r="AT5" s="7"/>
    </row>
    <row r="6" spans="2:52" s="6" customFormat="1" ht="24.75" customHeight="1" x14ac:dyDescent="0.25">
      <c r="B6" s="42" t="s">
        <v>108</v>
      </c>
      <c r="C6" s="39">
        <f>SUM(AO30:AZ30)</f>
        <v>34340</v>
      </c>
      <c r="D6" s="39">
        <f>SUM(AO31:AZ31)</f>
        <v>-25969.83</v>
      </c>
      <c r="E6" s="39">
        <f>C6+D6</f>
        <v>8370.1699999999983</v>
      </c>
      <c r="F6" s="40">
        <f t="shared" ref="F6" si="1">IFERROR(E6/C6,0)</f>
        <v>0.24374403028538144</v>
      </c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O6" s="7"/>
      <c r="AP6" s="7"/>
      <c r="AQ6" s="7"/>
      <c r="AR6" s="7"/>
      <c r="AS6" s="7"/>
      <c r="AT6" s="7"/>
    </row>
    <row r="7" spans="2:52" s="9" customFormat="1" ht="65.25" customHeight="1" x14ac:dyDescent="0.35">
      <c r="B7" s="27"/>
      <c r="C7" s="27"/>
      <c r="D7" s="27"/>
      <c r="G7" s="4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O7" s="10"/>
      <c r="AP7" s="10"/>
      <c r="AQ7" s="10"/>
      <c r="AR7" s="10"/>
      <c r="AS7" s="10"/>
      <c r="AT7" s="10"/>
    </row>
    <row r="8" spans="2:52" s="13" customFormat="1" ht="18.75" customHeight="1" x14ac:dyDescent="0.25">
      <c r="B8" s="30"/>
      <c r="C8" s="30"/>
      <c r="D8" s="31"/>
      <c r="E8" s="52" t="s">
        <v>45</v>
      </c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0" t="s">
        <v>46</v>
      </c>
      <c r="R8" s="50"/>
      <c r="S8" s="50"/>
      <c r="T8" s="50"/>
      <c r="U8" s="50"/>
      <c r="V8" s="50"/>
      <c r="W8" s="50"/>
      <c r="X8" s="50"/>
      <c r="Y8" s="50"/>
      <c r="Z8" s="50"/>
      <c r="AA8" s="50"/>
      <c r="AB8" s="51"/>
      <c r="AC8" s="49" t="s">
        <v>47</v>
      </c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1"/>
      <c r="AO8" s="49" t="s">
        <v>78</v>
      </c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1"/>
    </row>
    <row r="9" spans="2:52" s="14" customFormat="1" ht="21.75" customHeight="1" x14ac:dyDescent="0.25">
      <c r="B9" s="43" t="s">
        <v>6</v>
      </c>
      <c r="C9" s="44" t="s">
        <v>7</v>
      </c>
      <c r="D9" s="44" t="s">
        <v>44</v>
      </c>
      <c r="E9" s="45" t="s">
        <v>8</v>
      </c>
      <c r="F9" s="44" t="s">
        <v>80</v>
      </c>
      <c r="G9" s="44" t="s">
        <v>81</v>
      </c>
      <c r="H9" s="44" t="s">
        <v>82</v>
      </c>
      <c r="I9" s="44" t="s">
        <v>83</v>
      </c>
      <c r="J9" s="44" t="s">
        <v>84</v>
      </c>
      <c r="K9" s="44" t="s">
        <v>85</v>
      </c>
      <c r="L9" s="44" t="s">
        <v>86</v>
      </c>
      <c r="M9" s="44" t="s">
        <v>87</v>
      </c>
      <c r="N9" s="44" t="s">
        <v>88</v>
      </c>
      <c r="O9" s="44" t="s">
        <v>89</v>
      </c>
      <c r="P9" s="44" t="s">
        <v>90</v>
      </c>
      <c r="Q9" s="45" t="s">
        <v>72</v>
      </c>
      <c r="R9" s="44" t="s">
        <v>73</v>
      </c>
      <c r="S9" s="44" t="s">
        <v>74</v>
      </c>
      <c r="T9" s="44" t="s">
        <v>91</v>
      </c>
      <c r="U9" s="44" t="s">
        <v>92</v>
      </c>
      <c r="V9" s="44" t="s">
        <v>93</v>
      </c>
      <c r="W9" s="44" t="s">
        <v>94</v>
      </c>
      <c r="X9" s="44" t="s">
        <v>95</v>
      </c>
      <c r="Y9" s="44" t="s">
        <v>28</v>
      </c>
      <c r="Z9" s="44" t="s">
        <v>29</v>
      </c>
      <c r="AA9" s="44" t="s">
        <v>30</v>
      </c>
      <c r="AB9" s="44" t="s">
        <v>79</v>
      </c>
      <c r="AC9" s="44" t="s">
        <v>32</v>
      </c>
      <c r="AD9" s="44" t="s">
        <v>33</v>
      </c>
      <c r="AE9" s="44" t="s">
        <v>34</v>
      </c>
      <c r="AF9" s="44" t="s">
        <v>35</v>
      </c>
      <c r="AG9" s="44" t="s">
        <v>36</v>
      </c>
      <c r="AH9" s="44" t="s">
        <v>37</v>
      </c>
      <c r="AI9" s="44" t="s">
        <v>38</v>
      </c>
      <c r="AJ9" s="44" t="s">
        <v>39</v>
      </c>
      <c r="AK9" s="44" t="s">
        <v>40</v>
      </c>
      <c r="AL9" s="44" t="s">
        <v>41</v>
      </c>
      <c r="AM9" s="44" t="s">
        <v>42</v>
      </c>
      <c r="AN9" s="46" t="s">
        <v>43</v>
      </c>
      <c r="AO9" s="46" t="s">
        <v>96</v>
      </c>
      <c r="AP9" s="46" t="s">
        <v>97</v>
      </c>
      <c r="AQ9" s="46" t="s">
        <v>98</v>
      </c>
      <c r="AR9" s="46" t="s">
        <v>99</v>
      </c>
      <c r="AS9" s="46" t="s">
        <v>100</v>
      </c>
      <c r="AT9" s="46" t="s">
        <v>101</v>
      </c>
      <c r="AU9" s="46" t="s">
        <v>102</v>
      </c>
      <c r="AV9" s="46" t="s">
        <v>103</v>
      </c>
      <c r="AW9" s="46" t="s">
        <v>104</v>
      </c>
      <c r="AX9" s="46" t="s">
        <v>105</v>
      </c>
      <c r="AY9" s="46" t="s">
        <v>106</v>
      </c>
      <c r="AZ9" s="46" t="s">
        <v>107</v>
      </c>
    </row>
    <row r="10" spans="2:52" s="12" customFormat="1" ht="24.75" customHeight="1" x14ac:dyDescent="0.25">
      <c r="B10" s="33" t="s">
        <v>49</v>
      </c>
      <c r="C10" s="22" t="s">
        <v>55</v>
      </c>
      <c r="D10" s="21"/>
      <c r="E10" s="32">
        <v>30</v>
      </c>
      <c r="F10" s="11"/>
      <c r="G10" s="11"/>
      <c r="H10" s="11"/>
      <c r="I10" s="11"/>
      <c r="J10" s="11"/>
      <c r="K10" s="11"/>
      <c r="L10" s="32">
        <v>50</v>
      </c>
      <c r="M10" s="11"/>
      <c r="N10" s="11"/>
      <c r="O10" s="11"/>
      <c r="P10" s="11"/>
      <c r="Q10" s="32">
        <v>30</v>
      </c>
      <c r="R10" s="11"/>
      <c r="S10" s="11"/>
      <c r="T10" s="11"/>
      <c r="U10" s="11"/>
      <c r="V10" s="11"/>
      <c r="W10" s="11"/>
      <c r="X10" s="32">
        <v>50</v>
      </c>
      <c r="Y10" s="11"/>
      <c r="Z10" s="11"/>
      <c r="AA10" s="11"/>
      <c r="AB10" s="11"/>
      <c r="AC10" s="32">
        <v>30</v>
      </c>
      <c r="AD10" s="11"/>
      <c r="AE10" s="11"/>
      <c r="AF10" s="11"/>
      <c r="AG10" s="11"/>
      <c r="AH10" s="11"/>
      <c r="AI10" s="11"/>
      <c r="AJ10" s="32">
        <v>50</v>
      </c>
      <c r="AK10" s="11"/>
      <c r="AL10" s="11"/>
      <c r="AM10" s="11"/>
      <c r="AN10" s="11"/>
      <c r="AO10" s="11">
        <v>30</v>
      </c>
      <c r="AP10" s="11"/>
      <c r="AQ10" s="11"/>
      <c r="AR10" s="11"/>
      <c r="AS10" s="11"/>
      <c r="AT10" s="11"/>
      <c r="AU10" s="11"/>
      <c r="AV10" s="11">
        <v>50</v>
      </c>
      <c r="AW10" s="11"/>
      <c r="AX10" s="11"/>
      <c r="AY10" s="11"/>
      <c r="AZ10" s="11"/>
    </row>
    <row r="11" spans="2:52" s="12" customFormat="1" ht="24.75" customHeight="1" x14ac:dyDescent="0.25">
      <c r="B11" s="33" t="s">
        <v>49</v>
      </c>
      <c r="C11" s="21" t="s">
        <v>56</v>
      </c>
      <c r="D11" s="21"/>
      <c r="E11" s="11"/>
      <c r="F11" s="32">
        <v>100</v>
      </c>
      <c r="G11" s="32">
        <v>100</v>
      </c>
      <c r="H11" s="11"/>
      <c r="I11" s="11"/>
      <c r="J11" s="32">
        <v>200</v>
      </c>
      <c r="K11" s="11"/>
      <c r="L11" s="11"/>
      <c r="M11" s="11"/>
      <c r="N11" s="11"/>
      <c r="O11" s="11"/>
      <c r="P11" s="11"/>
      <c r="Q11" s="11"/>
      <c r="R11" s="32">
        <v>100</v>
      </c>
      <c r="S11" s="32">
        <v>100</v>
      </c>
      <c r="T11" s="11"/>
      <c r="U11" s="11"/>
      <c r="V11" s="32">
        <v>200</v>
      </c>
      <c r="W11" s="11"/>
      <c r="X11" s="11"/>
      <c r="Y11" s="11"/>
      <c r="Z11" s="11"/>
      <c r="AA11" s="11"/>
      <c r="AB11" s="11"/>
      <c r="AC11" s="11"/>
      <c r="AD11" s="32">
        <v>100</v>
      </c>
      <c r="AE11" s="32">
        <v>100</v>
      </c>
      <c r="AF11" s="11"/>
      <c r="AG11" s="11"/>
      <c r="AH11" s="32">
        <v>200</v>
      </c>
      <c r="AI11" s="11"/>
      <c r="AJ11" s="11"/>
      <c r="AK11" s="11"/>
      <c r="AL11" s="11"/>
      <c r="AM11" s="11"/>
      <c r="AN11" s="11"/>
      <c r="AO11" s="11"/>
      <c r="AP11" s="11">
        <v>100</v>
      </c>
      <c r="AQ11" s="11">
        <v>100</v>
      </c>
      <c r="AR11" s="11"/>
      <c r="AS11" s="11"/>
      <c r="AT11" s="11">
        <v>200</v>
      </c>
      <c r="AU11" s="11"/>
      <c r="AV11" s="11"/>
      <c r="AW11" s="11"/>
      <c r="AX11" s="11"/>
      <c r="AY11" s="11"/>
      <c r="AZ11" s="11"/>
    </row>
    <row r="12" spans="2:52" s="12" customFormat="1" ht="24.75" customHeight="1" x14ac:dyDescent="0.25">
      <c r="B12" s="33" t="s">
        <v>49</v>
      </c>
      <c r="C12" s="21" t="s">
        <v>57</v>
      </c>
      <c r="D12" s="21" t="s">
        <v>58</v>
      </c>
      <c r="E12" s="32">
        <v>2700</v>
      </c>
      <c r="F12" s="32">
        <v>2700</v>
      </c>
      <c r="G12" s="32">
        <v>2700</v>
      </c>
      <c r="H12" s="32">
        <v>2700</v>
      </c>
      <c r="I12" s="32">
        <v>2700</v>
      </c>
      <c r="J12" s="32">
        <v>2700</v>
      </c>
      <c r="K12" s="32">
        <v>2700</v>
      </c>
      <c r="L12" s="32">
        <v>2700</v>
      </c>
      <c r="M12" s="32">
        <v>2700</v>
      </c>
      <c r="N12" s="32">
        <v>2700</v>
      </c>
      <c r="O12" s="32">
        <v>2700</v>
      </c>
      <c r="P12" s="32">
        <v>2700</v>
      </c>
      <c r="Q12" s="32">
        <v>2700</v>
      </c>
      <c r="R12" s="32">
        <v>2700</v>
      </c>
      <c r="S12" s="32">
        <v>2700</v>
      </c>
      <c r="T12" s="32">
        <v>2700</v>
      </c>
      <c r="U12" s="32">
        <v>2700</v>
      </c>
      <c r="V12" s="32">
        <v>2700</v>
      </c>
      <c r="W12" s="32">
        <v>2700</v>
      </c>
      <c r="X12" s="32">
        <v>2700</v>
      </c>
      <c r="Y12" s="32">
        <v>2700</v>
      </c>
      <c r="Z12" s="32">
        <v>2700</v>
      </c>
      <c r="AA12" s="32">
        <v>2700</v>
      </c>
      <c r="AB12" s="32">
        <v>2700</v>
      </c>
      <c r="AC12" s="32">
        <v>2700</v>
      </c>
      <c r="AD12" s="32">
        <v>2700</v>
      </c>
      <c r="AE12" s="32">
        <v>2700</v>
      </c>
      <c r="AF12" s="32">
        <v>2700</v>
      </c>
      <c r="AG12" s="32">
        <v>2700</v>
      </c>
      <c r="AH12" s="32">
        <v>2700</v>
      </c>
      <c r="AI12" s="32">
        <v>2700</v>
      </c>
      <c r="AJ12" s="32">
        <v>2700</v>
      </c>
      <c r="AK12" s="32">
        <v>2700</v>
      </c>
      <c r="AL12" s="32">
        <v>2700</v>
      </c>
      <c r="AM12" s="32">
        <v>2700</v>
      </c>
      <c r="AN12" s="32">
        <v>2700</v>
      </c>
      <c r="AO12" s="32">
        <v>2700</v>
      </c>
      <c r="AP12" s="32">
        <v>2700</v>
      </c>
      <c r="AQ12" s="32">
        <v>2700</v>
      </c>
      <c r="AR12" s="32">
        <v>2700</v>
      </c>
      <c r="AS12" s="32">
        <v>2700</v>
      </c>
      <c r="AT12" s="32">
        <v>2700</v>
      </c>
      <c r="AU12" s="32">
        <v>2700</v>
      </c>
      <c r="AV12" s="32">
        <v>2700</v>
      </c>
      <c r="AW12" s="32">
        <v>2700</v>
      </c>
      <c r="AX12" s="32">
        <v>2700</v>
      </c>
      <c r="AY12" s="32">
        <v>2700</v>
      </c>
      <c r="AZ12" s="32">
        <v>2700</v>
      </c>
    </row>
    <row r="13" spans="2:52" s="12" customFormat="1" ht="24.75" customHeight="1" x14ac:dyDescent="0.25">
      <c r="B13" s="33" t="s">
        <v>49</v>
      </c>
      <c r="C13" s="21" t="s">
        <v>57</v>
      </c>
      <c r="D13" s="21" t="s">
        <v>59</v>
      </c>
      <c r="E13" s="32">
        <v>300</v>
      </c>
      <c r="F13" s="32">
        <v>200</v>
      </c>
      <c r="G13" s="32">
        <v>150</v>
      </c>
      <c r="H13" s="32">
        <v>200</v>
      </c>
      <c r="I13" s="32"/>
      <c r="J13" s="32">
        <v>100</v>
      </c>
      <c r="K13" s="32">
        <v>50</v>
      </c>
      <c r="L13" s="32">
        <v>300</v>
      </c>
      <c r="M13" s="32"/>
      <c r="N13" s="32">
        <v>50</v>
      </c>
      <c r="O13" s="32">
        <v>30</v>
      </c>
      <c r="P13" s="32">
        <v>80</v>
      </c>
      <c r="Q13" s="32">
        <v>300</v>
      </c>
      <c r="R13" s="32">
        <v>200</v>
      </c>
      <c r="S13" s="32">
        <v>150</v>
      </c>
      <c r="T13" s="32">
        <v>200</v>
      </c>
      <c r="U13" s="11"/>
      <c r="V13" s="32">
        <v>100</v>
      </c>
      <c r="W13" s="32">
        <v>50</v>
      </c>
      <c r="X13" s="32">
        <v>300</v>
      </c>
      <c r="Y13" s="11"/>
      <c r="Z13" s="32">
        <v>50</v>
      </c>
      <c r="AA13" s="32">
        <v>30</v>
      </c>
      <c r="AB13" s="32">
        <v>80</v>
      </c>
      <c r="AC13" s="32">
        <v>300</v>
      </c>
      <c r="AD13" s="32">
        <v>200</v>
      </c>
      <c r="AE13" s="32">
        <v>150</v>
      </c>
      <c r="AF13" s="32">
        <v>200</v>
      </c>
      <c r="AG13" s="11"/>
      <c r="AH13" s="32">
        <v>100</v>
      </c>
      <c r="AI13" s="32">
        <v>50</v>
      </c>
      <c r="AJ13" s="32">
        <v>300</v>
      </c>
      <c r="AK13" s="11"/>
      <c r="AL13" s="32">
        <v>50</v>
      </c>
      <c r="AM13" s="32">
        <v>30</v>
      </c>
      <c r="AN13" s="32">
        <v>80</v>
      </c>
      <c r="AO13" s="32">
        <v>300</v>
      </c>
      <c r="AP13" s="32">
        <v>200</v>
      </c>
      <c r="AQ13" s="32">
        <v>150</v>
      </c>
      <c r="AR13" s="32">
        <v>200</v>
      </c>
      <c r="AS13" s="32"/>
      <c r="AT13" s="32">
        <v>100</v>
      </c>
      <c r="AU13" s="32">
        <v>50</v>
      </c>
      <c r="AV13" s="32">
        <v>300</v>
      </c>
      <c r="AW13" s="32"/>
      <c r="AX13" s="32">
        <v>50</v>
      </c>
      <c r="AY13" s="32">
        <v>30</v>
      </c>
      <c r="AZ13" s="32">
        <v>80</v>
      </c>
    </row>
    <row r="14" spans="2:52" s="12" customFormat="1" ht="24.75" customHeight="1" x14ac:dyDescent="0.25">
      <c r="B14" s="33" t="s">
        <v>0</v>
      </c>
      <c r="C14" s="21" t="s">
        <v>51</v>
      </c>
      <c r="D14" s="21" t="s">
        <v>75</v>
      </c>
      <c r="E14" s="11">
        <v>-100</v>
      </c>
      <c r="F14" s="11">
        <v>-100</v>
      </c>
      <c r="G14" s="11">
        <v>-100</v>
      </c>
      <c r="H14" s="11">
        <v>-100</v>
      </c>
      <c r="I14" s="11">
        <v>-100</v>
      </c>
      <c r="J14" s="11">
        <v>-100</v>
      </c>
      <c r="K14" s="11">
        <v>-100</v>
      </c>
      <c r="L14" s="11">
        <v>-100</v>
      </c>
      <c r="M14" s="11">
        <v>-100</v>
      </c>
      <c r="N14" s="11">
        <v>-100</v>
      </c>
      <c r="O14" s="11">
        <v>-100</v>
      </c>
      <c r="P14" s="11">
        <v>-100</v>
      </c>
      <c r="Q14" s="11">
        <v>-100</v>
      </c>
      <c r="R14" s="11">
        <v>-100</v>
      </c>
      <c r="S14" s="11">
        <v>-100</v>
      </c>
      <c r="T14" s="11">
        <v>-100</v>
      </c>
      <c r="U14" s="11">
        <v>-100</v>
      </c>
      <c r="V14" s="11">
        <v>-100</v>
      </c>
      <c r="W14" s="11">
        <v>-100</v>
      </c>
      <c r="X14" s="11">
        <v>-100</v>
      </c>
      <c r="Y14" s="11">
        <v>-100</v>
      </c>
      <c r="Z14" s="11">
        <v>-100</v>
      </c>
      <c r="AA14" s="11">
        <v>-100</v>
      </c>
      <c r="AB14" s="11">
        <v>-100</v>
      </c>
      <c r="AC14" s="11">
        <v>-100</v>
      </c>
      <c r="AD14" s="11">
        <v>-100</v>
      </c>
      <c r="AE14" s="11">
        <v>-100</v>
      </c>
      <c r="AF14" s="11">
        <v>-100</v>
      </c>
      <c r="AG14" s="11">
        <v>-100</v>
      </c>
      <c r="AH14" s="11">
        <v>-100</v>
      </c>
      <c r="AI14" s="11">
        <v>-100</v>
      </c>
      <c r="AJ14" s="11">
        <v>-100</v>
      </c>
      <c r="AK14" s="11">
        <v>-100</v>
      </c>
      <c r="AL14" s="11">
        <v>-100</v>
      </c>
      <c r="AM14" s="11">
        <v>-100</v>
      </c>
      <c r="AN14" s="11">
        <v>-100</v>
      </c>
      <c r="AO14" s="11">
        <v>-100</v>
      </c>
      <c r="AP14" s="11">
        <v>-100</v>
      </c>
      <c r="AQ14" s="11">
        <v>-100</v>
      </c>
      <c r="AR14" s="11">
        <v>-100</v>
      </c>
      <c r="AS14" s="11">
        <v>-100</v>
      </c>
      <c r="AT14" s="11">
        <v>-100</v>
      </c>
      <c r="AU14" s="11">
        <v>-100</v>
      </c>
      <c r="AV14" s="11">
        <v>-100</v>
      </c>
      <c r="AW14" s="11">
        <v>-100</v>
      </c>
      <c r="AX14" s="11">
        <v>-100</v>
      </c>
      <c r="AY14" s="11">
        <v>-100</v>
      </c>
      <c r="AZ14" s="11">
        <v>-100</v>
      </c>
    </row>
    <row r="15" spans="2:52" s="12" customFormat="1" ht="24.75" customHeight="1" x14ac:dyDescent="0.25">
      <c r="B15" s="33" t="s">
        <v>0</v>
      </c>
      <c r="C15" s="21" t="s">
        <v>51</v>
      </c>
      <c r="D15" s="21" t="s">
        <v>54</v>
      </c>
      <c r="E15" s="11">
        <v>-200</v>
      </c>
      <c r="F15" s="11">
        <v>-200</v>
      </c>
      <c r="G15" s="11">
        <v>-200</v>
      </c>
      <c r="H15" s="11">
        <v>-200</v>
      </c>
      <c r="I15" s="11">
        <v>-200</v>
      </c>
      <c r="J15" s="11">
        <v>-200</v>
      </c>
      <c r="K15" s="11">
        <v>-200</v>
      </c>
      <c r="L15" s="11">
        <v>-200</v>
      </c>
      <c r="M15" s="11">
        <v>-200</v>
      </c>
      <c r="N15" s="11">
        <v>-200</v>
      </c>
      <c r="O15" s="11">
        <v>-200</v>
      </c>
      <c r="P15" s="11">
        <v>-200</v>
      </c>
      <c r="Q15" s="11">
        <v>-200</v>
      </c>
      <c r="R15" s="11">
        <v>-200</v>
      </c>
      <c r="S15" s="11">
        <v>-200</v>
      </c>
      <c r="T15" s="11">
        <v>-200</v>
      </c>
      <c r="U15" s="11">
        <v>-200</v>
      </c>
      <c r="V15" s="11">
        <v>-200</v>
      </c>
      <c r="W15" s="11">
        <v>-200</v>
      </c>
      <c r="X15" s="11">
        <v>-200</v>
      </c>
      <c r="Y15" s="11">
        <v>-200</v>
      </c>
      <c r="Z15" s="11">
        <v>-200</v>
      </c>
      <c r="AA15" s="11">
        <v>-200</v>
      </c>
      <c r="AB15" s="11">
        <v>-200</v>
      </c>
      <c r="AC15" s="11">
        <v>-200</v>
      </c>
      <c r="AD15" s="11">
        <v>-200</v>
      </c>
      <c r="AE15" s="11">
        <v>-200</v>
      </c>
      <c r="AF15" s="11">
        <v>-200</v>
      </c>
      <c r="AG15" s="11">
        <v>-200</v>
      </c>
      <c r="AH15" s="11">
        <v>-200</v>
      </c>
      <c r="AI15" s="11">
        <v>-200</v>
      </c>
      <c r="AJ15" s="11">
        <v>-200</v>
      </c>
      <c r="AK15" s="11">
        <v>-200</v>
      </c>
      <c r="AL15" s="11">
        <v>-200</v>
      </c>
      <c r="AM15" s="11">
        <v>-200</v>
      </c>
      <c r="AN15" s="11">
        <v>-200</v>
      </c>
      <c r="AO15" s="11">
        <v>-200</v>
      </c>
      <c r="AP15" s="11">
        <v>-200</v>
      </c>
      <c r="AQ15" s="11">
        <v>-200</v>
      </c>
      <c r="AR15" s="11">
        <v>-200</v>
      </c>
      <c r="AS15" s="11">
        <v>-200</v>
      </c>
      <c r="AT15" s="11">
        <v>-200</v>
      </c>
      <c r="AU15" s="11">
        <v>-200</v>
      </c>
      <c r="AV15" s="11">
        <v>-200</v>
      </c>
      <c r="AW15" s="11">
        <v>-200</v>
      </c>
      <c r="AX15" s="11">
        <v>-200</v>
      </c>
      <c r="AY15" s="11">
        <v>-200</v>
      </c>
      <c r="AZ15" s="11">
        <v>-200</v>
      </c>
    </row>
    <row r="16" spans="2:52" s="12" customFormat="1" ht="24.75" customHeight="1" x14ac:dyDescent="0.25">
      <c r="B16" s="33" t="s">
        <v>0</v>
      </c>
      <c r="C16" s="21" t="s">
        <v>51</v>
      </c>
      <c r="D16" s="21" t="s">
        <v>53</v>
      </c>
      <c r="E16" s="11"/>
      <c r="F16" s="11"/>
      <c r="G16" s="11"/>
      <c r="H16" s="11"/>
      <c r="I16" s="11"/>
      <c r="J16" s="11"/>
      <c r="K16" s="11"/>
      <c r="L16" s="11"/>
      <c r="M16" s="11"/>
      <c r="N16" s="11">
        <v>-2000</v>
      </c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</row>
    <row r="17" spans="2:52" s="12" customFormat="1" ht="24.75" customHeight="1" x14ac:dyDescent="0.25">
      <c r="B17" s="33" t="s">
        <v>0</v>
      </c>
      <c r="C17" s="21" t="s">
        <v>51</v>
      </c>
      <c r="D17" s="21" t="s">
        <v>52</v>
      </c>
      <c r="E17" s="11"/>
      <c r="F17" s="11">
        <v>-800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>
        <v>-800</v>
      </c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>
        <v>-800</v>
      </c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>
        <v>-800</v>
      </c>
      <c r="AQ17" s="11"/>
      <c r="AR17" s="11"/>
      <c r="AS17" s="11"/>
      <c r="AT17" s="11"/>
      <c r="AU17" s="11"/>
      <c r="AV17" s="11"/>
      <c r="AW17" s="11"/>
      <c r="AX17" s="11"/>
      <c r="AY17" s="11"/>
      <c r="AZ17" s="11"/>
    </row>
    <row r="18" spans="2:52" s="12" customFormat="1" ht="24.75" customHeight="1" x14ac:dyDescent="0.25">
      <c r="B18" s="33" t="s">
        <v>0</v>
      </c>
      <c r="C18" s="21" t="s">
        <v>51</v>
      </c>
      <c r="D18" s="21" t="s">
        <v>76</v>
      </c>
      <c r="E18" s="11"/>
      <c r="F18" s="11"/>
      <c r="G18" s="11">
        <v>-900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>
        <v>-900</v>
      </c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>
        <v>-900</v>
      </c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>
        <v>-900</v>
      </c>
      <c r="AR18" s="11"/>
      <c r="AS18" s="11"/>
      <c r="AT18" s="11"/>
      <c r="AU18" s="11"/>
      <c r="AV18" s="11"/>
      <c r="AW18" s="11"/>
      <c r="AX18" s="11"/>
      <c r="AY18" s="11"/>
      <c r="AZ18" s="11"/>
    </row>
    <row r="19" spans="2:52" s="12" customFormat="1" ht="24.75" customHeight="1" x14ac:dyDescent="0.25">
      <c r="B19" s="33" t="s">
        <v>0</v>
      </c>
      <c r="C19" s="21" t="s">
        <v>60</v>
      </c>
      <c r="D19" s="21" t="s">
        <v>61</v>
      </c>
      <c r="E19" s="32">
        <v>-200</v>
      </c>
      <c r="F19" s="32">
        <v>-300</v>
      </c>
      <c r="G19" s="32">
        <v>-250</v>
      </c>
      <c r="H19" s="32">
        <v>-200</v>
      </c>
      <c r="I19" s="32">
        <v>-200</v>
      </c>
      <c r="J19" s="32">
        <v>-250</v>
      </c>
      <c r="K19" s="32">
        <v>-300</v>
      </c>
      <c r="L19" s="32">
        <v>-264.29000000000002</v>
      </c>
      <c r="M19" s="32">
        <v>-269.64</v>
      </c>
      <c r="N19" s="32">
        <v>-275</v>
      </c>
      <c r="O19" s="32">
        <v>-280.36</v>
      </c>
      <c r="P19" s="32">
        <v>-285.70999999999998</v>
      </c>
      <c r="Q19" s="32">
        <v>-291.07</v>
      </c>
      <c r="R19" s="32">
        <v>-296.43</v>
      </c>
      <c r="S19" s="32">
        <v>-301.79000000000002</v>
      </c>
      <c r="T19" s="32">
        <v>-307.14</v>
      </c>
      <c r="U19" s="32">
        <v>-312.5</v>
      </c>
      <c r="V19" s="32">
        <v>-317.86</v>
      </c>
      <c r="W19" s="32">
        <v>-323.20999999999998</v>
      </c>
      <c r="X19" s="32">
        <v>-328.57</v>
      </c>
      <c r="Y19" s="32">
        <v>-333.93</v>
      </c>
      <c r="Z19" s="32">
        <v>-339.29</v>
      </c>
      <c r="AA19" s="32">
        <v>-344.64</v>
      </c>
      <c r="AB19" s="32">
        <v>-350</v>
      </c>
      <c r="AC19" s="32">
        <v>-355.36</v>
      </c>
      <c r="AD19" s="32">
        <v>-360.71</v>
      </c>
      <c r="AE19" s="32">
        <v>-366.07</v>
      </c>
      <c r="AF19" s="32">
        <v>-296.43</v>
      </c>
      <c r="AG19" s="32">
        <v>-301.79000000000002</v>
      </c>
      <c r="AH19" s="32">
        <v>-307.14</v>
      </c>
      <c r="AI19" s="32">
        <v>-312.5</v>
      </c>
      <c r="AJ19" s="32">
        <v>-317.86</v>
      </c>
      <c r="AK19" s="32">
        <v>-323.20999999999998</v>
      </c>
      <c r="AL19" s="32">
        <v>-328.57</v>
      </c>
      <c r="AM19" s="32">
        <v>-333.93</v>
      </c>
      <c r="AN19" s="32">
        <v>-339.29</v>
      </c>
      <c r="AO19" s="32">
        <v>-355.36</v>
      </c>
      <c r="AP19" s="32">
        <v>-360.71</v>
      </c>
      <c r="AQ19" s="32">
        <v>-366.07</v>
      </c>
      <c r="AR19" s="32">
        <v>-296.43</v>
      </c>
      <c r="AS19" s="32">
        <v>-301.79000000000002</v>
      </c>
      <c r="AT19" s="32">
        <v>-307.14</v>
      </c>
      <c r="AU19" s="32">
        <v>-312.5</v>
      </c>
      <c r="AV19" s="32">
        <v>-317.86</v>
      </c>
      <c r="AW19" s="32">
        <v>-323.20999999999998</v>
      </c>
      <c r="AX19" s="32">
        <v>-328.57</v>
      </c>
      <c r="AY19" s="32">
        <v>-333.93</v>
      </c>
      <c r="AZ19" s="32">
        <v>-339.29</v>
      </c>
    </row>
    <row r="20" spans="2:52" s="12" customFormat="1" ht="24.75" customHeight="1" x14ac:dyDescent="0.25">
      <c r="B20" s="33" t="s">
        <v>0</v>
      </c>
      <c r="C20" s="21" t="s">
        <v>60</v>
      </c>
      <c r="D20" s="21" t="s">
        <v>62</v>
      </c>
      <c r="E20" s="11"/>
      <c r="F20" s="32">
        <v>-80</v>
      </c>
      <c r="G20" s="11"/>
      <c r="H20" s="32"/>
      <c r="I20" s="32">
        <v>-90</v>
      </c>
      <c r="J20" s="11"/>
      <c r="K20" s="32"/>
      <c r="L20" s="32">
        <v>-45</v>
      </c>
      <c r="M20" s="32"/>
      <c r="N20" s="11"/>
      <c r="O20" s="32">
        <v>-48.33</v>
      </c>
      <c r="P20" s="11"/>
      <c r="Q20" s="11"/>
      <c r="R20" s="32">
        <v>-80</v>
      </c>
      <c r="S20" s="11"/>
      <c r="T20" s="11"/>
      <c r="U20" s="32">
        <v>-90</v>
      </c>
      <c r="V20" s="11"/>
      <c r="W20" s="11"/>
      <c r="X20" s="32">
        <v>-45</v>
      </c>
      <c r="Y20" s="11"/>
      <c r="Z20" s="11"/>
      <c r="AA20" s="32">
        <v>-48.33</v>
      </c>
      <c r="AB20" s="11"/>
      <c r="AC20" s="11"/>
      <c r="AD20" s="32">
        <v>-80</v>
      </c>
      <c r="AE20" s="11"/>
      <c r="AF20" s="11"/>
      <c r="AG20" s="32">
        <v>-90</v>
      </c>
      <c r="AH20" s="11"/>
      <c r="AI20" s="11"/>
      <c r="AJ20" s="32">
        <v>-45</v>
      </c>
      <c r="AK20" s="11"/>
      <c r="AL20" s="11"/>
      <c r="AM20" s="32">
        <v>-48.33</v>
      </c>
      <c r="AN20" s="11"/>
      <c r="AO20" s="11"/>
      <c r="AP20" s="11">
        <v>-80</v>
      </c>
      <c r="AQ20" s="11"/>
      <c r="AR20" s="11"/>
      <c r="AS20" s="11">
        <v>-90</v>
      </c>
      <c r="AT20" s="11"/>
      <c r="AU20" s="11"/>
      <c r="AV20" s="11">
        <v>-45</v>
      </c>
      <c r="AW20" s="11"/>
      <c r="AX20" s="11"/>
      <c r="AY20" s="11">
        <v>-48.33</v>
      </c>
      <c r="AZ20" s="11"/>
    </row>
    <row r="21" spans="2:52" s="12" customFormat="1" ht="24.75" customHeight="1" x14ac:dyDescent="0.25">
      <c r="B21" s="33" t="s">
        <v>0</v>
      </c>
      <c r="C21" s="21" t="s">
        <v>60</v>
      </c>
      <c r="D21" s="21" t="s">
        <v>63</v>
      </c>
      <c r="E21" s="32">
        <v>-89.99</v>
      </c>
      <c r="F21" s="32">
        <v>-89.99</v>
      </c>
      <c r="G21" s="32">
        <v>-89.99</v>
      </c>
      <c r="H21" s="32">
        <v>-89.99</v>
      </c>
      <c r="I21" s="32">
        <v>-89.99</v>
      </c>
      <c r="J21" s="32">
        <v>-89.99</v>
      </c>
      <c r="K21" s="32">
        <v>-89.99</v>
      </c>
      <c r="L21" s="32">
        <v>-89.99</v>
      </c>
      <c r="M21" s="32">
        <v>-89.99</v>
      </c>
      <c r="N21" s="32">
        <v>-89.99</v>
      </c>
      <c r="O21" s="32">
        <v>-89.99</v>
      </c>
      <c r="P21" s="32">
        <v>-89.99</v>
      </c>
      <c r="Q21" s="32">
        <v>-89.99</v>
      </c>
      <c r="R21" s="32">
        <v>-89.99</v>
      </c>
      <c r="S21" s="32">
        <v>-89.99</v>
      </c>
      <c r="T21" s="32">
        <v>-89.99</v>
      </c>
      <c r="U21" s="32">
        <v>-89.99</v>
      </c>
      <c r="V21" s="32">
        <v>-89.99</v>
      </c>
      <c r="W21" s="32">
        <v>-89.99</v>
      </c>
      <c r="X21" s="32">
        <v>-89.99</v>
      </c>
      <c r="Y21" s="32">
        <v>-89.99</v>
      </c>
      <c r="Z21" s="32">
        <v>-89.99</v>
      </c>
      <c r="AA21" s="32">
        <v>-89.99</v>
      </c>
      <c r="AB21" s="32">
        <v>-89.99</v>
      </c>
      <c r="AC21" s="32">
        <v>-89.99</v>
      </c>
      <c r="AD21" s="32">
        <v>-89.99</v>
      </c>
      <c r="AE21" s="32">
        <v>-89.99</v>
      </c>
      <c r="AF21" s="32">
        <v>-89.99</v>
      </c>
      <c r="AG21" s="32">
        <v>-89.99</v>
      </c>
      <c r="AH21" s="32">
        <v>-89.99</v>
      </c>
      <c r="AI21" s="32">
        <v>-89.99</v>
      </c>
      <c r="AJ21" s="32">
        <v>-89.99</v>
      </c>
      <c r="AK21" s="32">
        <v>-89.99</v>
      </c>
      <c r="AL21" s="32">
        <v>-89.99</v>
      </c>
      <c r="AM21" s="32">
        <v>-89.99</v>
      </c>
      <c r="AN21" s="32">
        <v>-89.99</v>
      </c>
      <c r="AO21" s="32">
        <v>-89.99</v>
      </c>
      <c r="AP21" s="32">
        <v>-89.99</v>
      </c>
      <c r="AQ21" s="32">
        <v>-89.99</v>
      </c>
      <c r="AR21" s="32">
        <v>-89.99</v>
      </c>
      <c r="AS21" s="32">
        <v>-89.99</v>
      </c>
      <c r="AT21" s="32">
        <v>-89.99</v>
      </c>
      <c r="AU21" s="32">
        <v>-89.99</v>
      </c>
      <c r="AV21" s="32">
        <v>-89.99</v>
      </c>
      <c r="AW21" s="32">
        <v>-89.99</v>
      </c>
      <c r="AX21" s="32">
        <v>-89.99</v>
      </c>
      <c r="AY21" s="32">
        <v>-89.99</v>
      </c>
      <c r="AZ21" s="32">
        <v>-89.99</v>
      </c>
    </row>
    <row r="22" spans="2:52" s="12" customFormat="1" ht="24.75" customHeight="1" x14ac:dyDescent="0.25">
      <c r="B22" s="33" t="s">
        <v>0</v>
      </c>
      <c r="C22" s="21" t="s">
        <v>60</v>
      </c>
      <c r="D22" s="21" t="s">
        <v>64</v>
      </c>
      <c r="E22" s="32">
        <v>-50</v>
      </c>
      <c r="F22" s="11"/>
      <c r="G22" s="32"/>
      <c r="H22" s="32">
        <v>-80</v>
      </c>
      <c r="I22" s="32"/>
      <c r="J22" s="32"/>
      <c r="K22" s="32">
        <v>-70</v>
      </c>
      <c r="L22" s="32"/>
      <c r="M22" s="32"/>
      <c r="N22" s="32">
        <v>-100</v>
      </c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</row>
    <row r="23" spans="2:52" s="12" customFormat="1" ht="24.75" customHeight="1" x14ac:dyDescent="0.25">
      <c r="B23" s="33" t="s">
        <v>0</v>
      </c>
      <c r="C23" s="21" t="s">
        <v>65</v>
      </c>
      <c r="D23" s="21" t="s">
        <v>66</v>
      </c>
      <c r="E23" s="32">
        <v>-16.989999999999998</v>
      </c>
      <c r="F23" s="32">
        <v>-16.989999999999998</v>
      </c>
      <c r="G23" s="32">
        <v>-16.989999999999998</v>
      </c>
      <c r="H23" s="32">
        <v>-16.989999999999998</v>
      </c>
      <c r="I23" s="32">
        <v>-16.989999999999998</v>
      </c>
      <c r="J23" s="32">
        <v>-16.989999999999998</v>
      </c>
      <c r="K23" s="32">
        <v>-16.989999999999998</v>
      </c>
      <c r="L23" s="32">
        <v>-16.989999999999998</v>
      </c>
      <c r="M23" s="32">
        <v>-16.989999999999998</v>
      </c>
      <c r="N23" s="32">
        <v>-16.989999999999998</v>
      </c>
      <c r="O23" s="32">
        <v>-16.989999999999998</v>
      </c>
      <c r="P23" s="32">
        <v>-16.989999999999998</v>
      </c>
      <c r="Q23" s="32">
        <v>-16.989999999999998</v>
      </c>
      <c r="R23" s="32">
        <v>-16.989999999999998</v>
      </c>
      <c r="S23" s="32">
        <v>-16.989999999999998</v>
      </c>
      <c r="T23" s="32">
        <v>-16.989999999999998</v>
      </c>
      <c r="U23" s="32">
        <v>-16.989999999999998</v>
      </c>
      <c r="V23" s="32">
        <v>-16.989999999999998</v>
      </c>
      <c r="W23" s="32">
        <v>-16.989999999999998</v>
      </c>
      <c r="X23" s="32">
        <v>-16.989999999999998</v>
      </c>
      <c r="Y23" s="32">
        <v>-16.989999999999998</v>
      </c>
      <c r="Z23" s="32">
        <v>-16.989999999999998</v>
      </c>
      <c r="AA23" s="32">
        <v>-16.989999999999998</v>
      </c>
      <c r="AB23" s="32">
        <v>-16.989999999999998</v>
      </c>
      <c r="AC23" s="32">
        <v>-16.989999999999998</v>
      </c>
      <c r="AD23" s="32">
        <v>-16.989999999999998</v>
      </c>
      <c r="AE23" s="32">
        <v>-16.989999999999998</v>
      </c>
      <c r="AF23" s="32">
        <v>-16.989999999999998</v>
      </c>
      <c r="AG23" s="32">
        <v>-16.989999999999998</v>
      </c>
      <c r="AH23" s="32">
        <v>-16.989999999999998</v>
      </c>
      <c r="AI23" s="32">
        <v>-16.989999999999998</v>
      </c>
      <c r="AJ23" s="32">
        <v>-16.989999999999998</v>
      </c>
      <c r="AK23" s="32">
        <v>-16.989999999999998</v>
      </c>
      <c r="AL23" s="32">
        <v>-16.989999999999998</v>
      </c>
      <c r="AM23" s="32">
        <v>-16.989999999999998</v>
      </c>
      <c r="AN23" s="32">
        <v>-16.989999999999998</v>
      </c>
      <c r="AO23" s="32">
        <v>-16.989999999999998</v>
      </c>
      <c r="AP23" s="32">
        <v>-16.989999999999998</v>
      </c>
      <c r="AQ23" s="32">
        <v>-16.989999999999998</v>
      </c>
      <c r="AR23" s="32">
        <v>-16.989999999999998</v>
      </c>
      <c r="AS23" s="32">
        <v>-16.989999999999998</v>
      </c>
      <c r="AT23" s="32">
        <v>-16.989999999999998</v>
      </c>
      <c r="AU23" s="32">
        <v>-16.989999999999998</v>
      </c>
      <c r="AV23" s="32">
        <v>-16.989999999999998</v>
      </c>
      <c r="AW23" s="32">
        <v>-16.989999999999998</v>
      </c>
      <c r="AX23" s="32">
        <v>-16.989999999999998</v>
      </c>
      <c r="AY23" s="32">
        <v>-16.989999999999998</v>
      </c>
      <c r="AZ23" s="32">
        <v>-16.989999999999998</v>
      </c>
    </row>
    <row r="24" spans="2:52" s="12" customFormat="1" ht="24.75" customHeight="1" x14ac:dyDescent="0.25">
      <c r="B24" s="33" t="s">
        <v>0</v>
      </c>
      <c r="C24" s="21" t="s">
        <v>65</v>
      </c>
      <c r="D24" s="21" t="s">
        <v>67</v>
      </c>
      <c r="E24" s="32">
        <v>-14.99</v>
      </c>
      <c r="F24" s="32">
        <v>-14.99</v>
      </c>
      <c r="G24" s="32">
        <v>-14.99</v>
      </c>
      <c r="H24" s="32">
        <v>-14.99</v>
      </c>
      <c r="I24" s="32">
        <v>-14.99</v>
      </c>
      <c r="J24" s="32">
        <v>-14.99</v>
      </c>
      <c r="K24" s="32">
        <v>-14.99</v>
      </c>
      <c r="L24" s="32">
        <v>-14.99</v>
      </c>
      <c r="M24" s="32">
        <v>-14.99</v>
      </c>
      <c r="N24" s="32">
        <v>-14.99</v>
      </c>
      <c r="O24" s="32">
        <v>-14.99</v>
      </c>
      <c r="P24" s="32">
        <v>-14.99</v>
      </c>
      <c r="Q24" s="32">
        <v>-14.99</v>
      </c>
      <c r="R24" s="32">
        <v>-14.99</v>
      </c>
      <c r="S24" s="32">
        <v>-14.99</v>
      </c>
      <c r="T24" s="32">
        <v>-14.99</v>
      </c>
      <c r="U24" s="32">
        <v>-14.99</v>
      </c>
      <c r="V24" s="32">
        <v>-14.99</v>
      </c>
      <c r="W24" s="32">
        <v>-14.99</v>
      </c>
      <c r="X24" s="32">
        <v>-14.99</v>
      </c>
      <c r="Y24" s="32">
        <v>-14.99</v>
      </c>
      <c r="Z24" s="32">
        <v>-14.99</v>
      </c>
      <c r="AA24" s="32">
        <v>-14.99</v>
      </c>
      <c r="AB24" s="32">
        <v>-14.99</v>
      </c>
      <c r="AC24" s="32">
        <v>-14.99</v>
      </c>
      <c r="AD24" s="32">
        <v>-14.99</v>
      </c>
      <c r="AE24" s="32">
        <v>-14.99</v>
      </c>
      <c r="AF24" s="32">
        <v>-14.99</v>
      </c>
      <c r="AG24" s="32">
        <v>-14.99</v>
      </c>
      <c r="AH24" s="32">
        <v>-14.99</v>
      </c>
      <c r="AI24" s="32">
        <v>-14.99</v>
      </c>
      <c r="AJ24" s="32">
        <v>-14.99</v>
      </c>
      <c r="AK24" s="32">
        <v>-14.99</v>
      </c>
      <c r="AL24" s="32">
        <v>-14.99</v>
      </c>
      <c r="AM24" s="32">
        <v>-14.99</v>
      </c>
      <c r="AN24" s="32">
        <v>-14.99</v>
      </c>
      <c r="AO24" s="32">
        <v>-14.99</v>
      </c>
      <c r="AP24" s="32">
        <v>-14.99</v>
      </c>
      <c r="AQ24" s="32">
        <v>-14.99</v>
      </c>
      <c r="AR24" s="32">
        <v>-14.99</v>
      </c>
      <c r="AS24" s="32">
        <v>-14.99</v>
      </c>
      <c r="AT24" s="32">
        <v>-14.99</v>
      </c>
      <c r="AU24" s="32">
        <v>-14.99</v>
      </c>
      <c r="AV24" s="32">
        <v>-14.99</v>
      </c>
      <c r="AW24" s="32">
        <v>-14.99</v>
      </c>
      <c r="AX24" s="32">
        <v>-14.99</v>
      </c>
      <c r="AY24" s="32">
        <v>-14.99</v>
      </c>
      <c r="AZ24" s="32">
        <v>-14.99</v>
      </c>
    </row>
    <row r="25" spans="2:52" s="12" customFormat="1" ht="24.75" customHeight="1" x14ac:dyDescent="0.25">
      <c r="B25" s="33" t="s">
        <v>0</v>
      </c>
      <c r="C25" s="21" t="s">
        <v>68</v>
      </c>
      <c r="D25" s="21" t="s">
        <v>69</v>
      </c>
      <c r="E25" s="32">
        <v>-49</v>
      </c>
      <c r="F25" s="11"/>
      <c r="G25" s="32">
        <v>-100</v>
      </c>
      <c r="H25" s="32">
        <v>-20</v>
      </c>
      <c r="I25" s="11"/>
      <c r="J25" s="11"/>
      <c r="K25" s="11"/>
      <c r="L25" s="32">
        <v>-50</v>
      </c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</row>
    <row r="26" spans="2:52" s="12" customFormat="1" ht="24.75" customHeight="1" x14ac:dyDescent="0.25">
      <c r="B26" s="33" t="s">
        <v>0</v>
      </c>
      <c r="C26" s="21" t="s">
        <v>68</v>
      </c>
      <c r="D26" s="21" t="s">
        <v>70</v>
      </c>
      <c r="E26" s="32">
        <v>-250</v>
      </c>
      <c r="F26" s="32">
        <v>-250</v>
      </c>
      <c r="G26" s="32">
        <v>-250</v>
      </c>
      <c r="H26" s="32">
        <v>-250</v>
      </c>
      <c r="I26" s="32">
        <v>-250</v>
      </c>
      <c r="J26" s="32">
        <v>-250</v>
      </c>
      <c r="K26" s="32">
        <v>-250</v>
      </c>
      <c r="L26" s="32">
        <v>-250</v>
      </c>
      <c r="M26" s="32">
        <v>-250</v>
      </c>
      <c r="N26" s="32">
        <v>-250</v>
      </c>
      <c r="O26" s="32">
        <v>-250</v>
      </c>
      <c r="P26" s="32">
        <v>-250</v>
      </c>
      <c r="Q26" s="32">
        <v>-250</v>
      </c>
      <c r="R26" s="32">
        <v>-250</v>
      </c>
      <c r="S26" s="32">
        <v>-250</v>
      </c>
      <c r="T26" s="32">
        <v>-250</v>
      </c>
      <c r="U26" s="32">
        <v>-250</v>
      </c>
      <c r="V26" s="32">
        <v>-250</v>
      </c>
      <c r="W26" s="32">
        <v>-250</v>
      </c>
      <c r="X26" s="32">
        <v>-250</v>
      </c>
      <c r="Y26" s="32">
        <v>-250</v>
      </c>
      <c r="Z26" s="32">
        <v>-250</v>
      </c>
      <c r="AA26" s="32">
        <v>-250</v>
      </c>
      <c r="AB26" s="32">
        <v>-250</v>
      </c>
      <c r="AC26" s="32">
        <v>-250</v>
      </c>
      <c r="AD26" s="32">
        <v>-250</v>
      </c>
      <c r="AE26" s="32">
        <v>-250</v>
      </c>
      <c r="AF26" s="32">
        <v>-250</v>
      </c>
      <c r="AG26" s="32">
        <v>-250</v>
      </c>
      <c r="AH26" s="32">
        <v>-250</v>
      </c>
      <c r="AI26" s="32">
        <v>-250</v>
      </c>
      <c r="AJ26" s="32">
        <v>-250</v>
      </c>
      <c r="AK26" s="32">
        <v>-250</v>
      </c>
      <c r="AL26" s="32">
        <v>-250</v>
      </c>
      <c r="AM26" s="32">
        <v>-250</v>
      </c>
      <c r="AN26" s="32">
        <v>-250</v>
      </c>
      <c r="AO26" s="32">
        <v>-250</v>
      </c>
      <c r="AP26" s="32">
        <v>-250</v>
      </c>
      <c r="AQ26" s="32">
        <v>-250</v>
      </c>
      <c r="AR26" s="32">
        <v>-250</v>
      </c>
      <c r="AS26" s="32">
        <v>-250</v>
      </c>
      <c r="AT26" s="32">
        <v>-250</v>
      </c>
      <c r="AU26" s="32">
        <v>-250</v>
      </c>
      <c r="AV26" s="32">
        <v>-250</v>
      </c>
      <c r="AW26" s="32">
        <v>-250</v>
      </c>
      <c r="AX26" s="32">
        <v>-250</v>
      </c>
      <c r="AY26" s="32">
        <v>-250</v>
      </c>
      <c r="AZ26" s="32">
        <v>-250</v>
      </c>
    </row>
    <row r="27" spans="2:52" s="12" customFormat="1" ht="24.75" customHeight="1" x14ac:dyDescent="0.25">
      <c r="B27" s="33" t="s">
        <v>0</v>
      </c>
      <c r="C27" s="21" t="s">
        <v>71</v>
      </c>
      <c r="D27" s="21"/>
      <c r="E27" s="32">
        <v>-1000</v>
      </c>
      <c r="F27" s="32">
        <v>-1000</v>
      </c>
      <c r="G27" s="32">
        <v>-1000</v>
      </c>
      <c r="H27" s="32">
        <v>-1000</v>
      </c>
      <c r="I27" s="32">
        <v>-1000</v>
      </c>
      <c r="J27" s="32">
        <v>-1000</v>
      </c>
      <c r="K27" s="32">
        <v>-1000</v>
      </c>
      <c r="L27" s="32">
        <v>-1000</v>
      </c>
      <c r="M27" s="32">
        <v>-1000</v>
      </c>
      <c r="N27" s="32">
        <v>-1000</v>
      </c>
      <c r="O27" s="32">
        <v>-1000</v>
      </c>
      <c r="P27" s="32">
        <v>-1000</v>
      </c>
      <c r="Q27" s="32">
        <v>-1000</v>
      </c>
      <c r="R27" s="32">
        <v>-1000</v>
      </c>
      <c r="S27" s="32">
        <v>-1000</v>
      </c>
      <c r="T27" s="32">
        <v>-1000</v>
      </c>
      <c r="U27" s="32">
        <v>-1000</v>
      </c>
      <c r="V27" s="32">
        <v>-1000</v>
      </c>
      <c r="W27" s="32">
        <v>-1000</v>
      </c>
      <c r="X27" s="32">
        <v>-1000</v>
      </c>
      <c r="Y27" s="32">
        <v>-1000</v>
      </c>
      <c r="Z27" s="32">
        <v>-1000</v>
      </c>
      <c r="AA27" s="32">
        <v>-1000</v>
      </c>
      <c r="AB27" s="32">
        <v>-1000</v>
      </c>
      <c r="AC27" s="32">
        <v>-1000</v>
      </c>
      <c r="AD27" s="32">
        <v>-1000</v>
      </c>
      <c r="AE27" s="32">
        <v>-1000</v>
      </c>
      <c r="AF27" s="32">
        <v>-1000</v>
      </c>
      <c r="AG27" s="32">
        <v>-1000</v>
      </c>
      <c r="AH27" s="32">
        <v>-1000</v>
      </c>
      <c r="AI27" s="32">
        <v>-1000</v>
      </c>
      <c r="AJ27" s="32">
        <v>-1000</v>
      </c>
      <c r="AK27" s="32">
        <v>-1000</v>
      </c>
      <c r="AL27" s="32">
        <v>-1000</v>
      </c>
      <c r="AM27" s="32">
        <v>-1000</v>
      </c>
      <c r="AN27" s="32">
        <v>-1000</v>
      </c>
      <c r="AO27" s="32">
        <v>-1000</v>
      </c>
      <c r="AP27" s="32">
        <v>-1000</v>
      </c>
      <c r="AQ27" s="32">
        <v>-1000</v>
      </c>
      <c r="AR27" s="32">
        <v>-1000</v>
      </c>
      <c r="AS27" s="32">
        <v>-1000</v>
      </c>
      <c r="AT27" s="32">
        <v>-1000</v>
      </c>
      <c r="AU27" s="32">
        <v>-1000</v>
      </c>
      <c r="AV27" s="32">
        <v>-1000</v>
      </c>
      <c r="AW27" s="32">
        <v>-1000</v>
      </c>
      <c r="AX27" s="32">
        <v>-1000</v>
      </c>
      <c r="AY27" s="32">
        <v>-1000</v>
      </c>
      <c r="AZ27" s="32">
        <v>-1000</v>
      </c>
    </row>
    <row r="28" spans="2:52" ht="18.75" customHeight="1" x14ac:dyDescent="0.25">
      <c r="G28" s="8"/>
      <c r="H28" s="1"/>
      <c r="I28" s="1"/>
      <c r="J28" s="1"/>
    </row>
    <row r="29" spans="2:52" s="15" customFormat="1" ht="21" customHeight="1" x14ac:dyDescent="0.25">
      <c r="C29" s="16"/>
      <c r="D29" s="35" t="s">
        <v>77</v>
      </c>
      <c r="E29" s="23" t="s">
        <v>8</v>
      </c>
      <c r="F29" s="23" t="s">
        <v>9</v>
      </c>
      <c r="G29" s="23" t="s">
        <v>10</v>
      </c>
      <c r="H29" s="23" t="s">
        <v>11</v>
      </c>
      <c r="I29" s="23" t="s">
        <v>12</v>
      </c>
      <c r="J29" s="23" t="s">
        <v>13</v>
      </c>
      <c r="K29" s="23" t="s">
        <v>14</v>
      </c>
      <c r="L29" s="23" t="s">
        <v>15</v>
      </c>
      <c r="M29" s="23" t="s">
        <v>16</v>
      </c>
      <c r="N29" s="23" t="s">
        <v>17</v>
      </c>
      <c r="O29" s="23" t="s">
        <v>18</v>
      </c>
      <c r="P29" s="23" t="s">
        <v>19</v>
      </c>
      <c r="Q29" s="23" t="s">
        <v>20</v>
      </c>
      <c r="R29" s="23" t="s">
        <v>21</v>
      </c>
      <c r="S29" s="23" t="s">
        <v>22</v>
      </c>
      <c r="T29" s="23" t="s">
        <v>23</v>
      </c>
      <c r="U29" s="23" t="s">
        <v>24</v>
      </c>
      <c r="V29" s="23" t="s">
        <v>25</v>
      </c>
      <c r="W29" s="23" t="s">
        <v>26</v>
      </c>
      <c r="X29" s="23" t="s">
        <v>27</v>
      </c>
      <c r="Y29" s="23" t="s">
        <v>28</v>
      </c>
      <c r="Z29" s="23" t="s">
        <v>29</v>
      </c>
      <c r="AA29" s="23" t="s">
        <v>30</v>
      </c>
      <c r="AB29" s="23" t="s">
        <v>31</v>
      </c>
      <c r="AC29" s="23" t="s">
        <v>32</v>
      </c>
      <c r="AD29" s="23" t="s">
        <v>33</v>
      </c>
      <c r="AE29" s="23" t="s">
        <v>34</v>
      </c>
      <c r="AF29" s="23" t="s">
        <v>35</v>
      </c>
      <c r="AG29" s="23" t="s">
        <v>36</v>
      </c>
      <c r="AH29" s="23" t="s">
        <v>37</v>
      </c>
      <c r="AI29" s="23" t="s">
        <v>38</v>
      </c>
      <c r="AJ29" s="23" t="s">
        <v>39</v>
      </c>
      <c r="AK29" s="23" t="s">
        <v>40</v>
      </c>
      <c r="AL29" s="23" t="s">
        <v>41</v>
      </c>
      <c r="AM29" s="23" t="s">
        <v>42</v>
      </c>
      <c r="AN29" s="24" t="s">
        <v>43</v>
      </c>
      <c r="AO29" s="24" t="s">
        <v>96</v>
      </c>
      <c r="AP29" s="24" t="s">
        <v>97</v>
      </c>
      <c r="AQ29" s="24" t="s">
        <v>98</v>
      </c>
      <c r="AR29" s="24" t="s">
        <v>99</v>
      </c>
      <c r="AS29" s="24" t="s">
        <v>100</v>
      </c>
      <c r="AT29" s="24" t="s">
        <v>101</v>
      </c>
      <c r="AU29" s="24" t="s">
        <v>102</v>
      </c>
      <c r="AV29" s="24" t="s">
        <v>103</v>
      </c>
      <c r="AW29" s="24" t="s">
        <v>104</v>
      </c>
      <c r="AX29" s="24" t="s">
        <v>105</v>
      </c>
      <c r="AY29" s="24" t="s">
        <v>106</v>
      </c>
      <c r="AZ29" s="24" t="s">
        <v>107</v>
      </c>
    </row>
    <row r="30" spans="2:52" s="17" customFormat="1" ht="25.5" customHeight="1" x14ac:dyDescent="0.2">
      <c r="D30" s="36" t="s">
        <v>49</v>
      </c>
      <c r="E30" s="25">
        <f>SUMIF(Table1[[ July 2024 ]],"&gt;0",Table1[[ July 2024 ]])</f>
        <v>3030</v>
      </c>
      <c r="F30" s="25">
        <f>SUMIF(Table1[[ August 2024]],"&gt;0",Table1[[ August 2024]])</f>
        <v>3000</v>
      </c>
      <c r="G30" s="25">
        <f>SUMIF(Table1[[ September 2024]],"&gt;0",Table1[[ September 2024]])</f>
        <v>2950</v>
      </c>
      <c r="H30" s="25">
        <f>SUMIF(Table1[[ October 2024]],"&gt;0",Table1[[ October 2024]])</f>
        <v>2900</v>
      </c>
      <c r="I30" s="25">
        <f>SUMIF(Table1[[ November 2024]],"&gt;0",Table1[[ November 2024]])</f>
        <v>2700</v>
      </c>
      <c r="J30" s="25">
        <f>SUMIF(Table1[[ December 2024]],"&gt;0",Table1[[ December 2024]])</f>
        <v>3000</v>
      </c>
      <c r="K30" s="25">
        <f>SUMIF(Table1[[ January 2025]],"&gt;0",Table1[[ January 2025]])</f>
        <v>2750</v>
      </c>
      <c r="L30" s="25">
        <f>SUMIF(Table1[[ February 2025]],"&gt;0",Table1[[ February 2025]])</f>
        <v>3050</v>
      </c>
      <c r="M30" s="25">
        <f>SUMIF(Table1[[ March 2025]],"&gt;0",Table1[[ March 2025]])</f>
        <v>2700</v>
      </c>
      <c r="N30" s="25">
        <f>SUMIF(Table1[[ April 2025]],"&gt;0",Table1[[ April 2025]])</f>
        <v>2750</v>
      </c>
      <c r="O30" s="25">
        <f>SUMIF(Table1[[ May 2025]],"&gt;0",Table1[[ May 2025]])</f>
        <v>2730</v>
      </c>
      <c r="P30" s="25">
        <f>SUMIF(Table1[[ June 2025]],"&gt;0",Table1[[ June 2025]])</f>
        <v>2780</v>
      </c>
      <c r="Q30" s="25">
        <f>SUMIF(Table1[[ July 2025]],"&gt;0",Table1[[ July 2025]])</f>
        <v>3030</v>
      </c>
      <c r="R30" s="25">
        <f>SUMIF(Table1[[ August 2025]],"&gt;0",Table1[[ August 2025]])</f>
        <v>3000</v>
      </c>
      <c r="S30" s="25">
        <f>SUMIF(Table1[[ September 2025]],"&gt;0",Table1[[ September 2025]])</f>
        <v>2950</v>
      </c>
      <c r="T30" s="25">
        <f>SUMIF(Table1[[ October 2025]],"&gt;0",Table1[[ October 2025]])</f>
        <v>2900</v>
      </c>
      <c r="U30" s="25">
        <f>SUMIF(Table1[[ November 2025]],"&gt;0",Table1[[ November 2025]])</f>
        <v>2700</v>
      </c>
      <c r="V30" s="25">
        <f>SUMIF(Table1[[ December 2025]],"&gt;0",Table1[[ December 2025]])</f>
        <v>3000</v>
      </c>
      <c r="W30" s="25">
        <f>SUMIF(Table1[[ January 2026]],"&gt;0",Table1[[ January 2026]])</f>
        <v>2750</v>
      </c>
      <c r="X30" s="25">
        <f>SUMIF(Table1[[ February 2026]],"&gt;0",Table1[[ February 2026]])</f>
        <v>3050</v>
      </c>
      <c r="Y30" s="25">
        <f>SUMIF(Table1[[ March 2026 ]],"&gt;0",Table1[[ March 2026 ]])</f>
        <v>2700</v>
      </c>
      <c r="Z30" s="25">
        <f>SUMIF(Table1[[ April 2026 ]],"&gt;0",Table1[[ April 2026 ]])</f>
        <v>2750</v>
      </c>
      <c r="AA30" s="25">
        <f>SUMIF(Table1[[ May 2026 ]],"&gt;0",Table1[[ May 2026 ]])</f>
        <v>2730</v>
      </c>
      <c r="AB30" s="25">
        <f>SUMIF(Table1[[ June 2026 13]],"&gt;0",Table1[[ June 2026 13]])</f>
        <v>2780</v>
      </c>
      <c r="AC30" s="25">
        <f>SUMIF(Table1[[ July 2026 ]],"&gt;0",Table1[[ July 2026 ]])</f>
        <v>3030</v>
      </c>
      <c r="AD30" s="25">
        <f>SUMIF(Table1[[ August 2026 ]],"&gt;0",Table1[[ August 2026 ]])</f>
        <v>3000</v>
      </c>
      <c r="AE30" s="25">
        <f>SUMIF(Table1[[ September 2026 ]],"&gt;0",Table1[[ September 2026 ]])</f>
        <v>2950</v>
      </c>
      <c r="AF30" s="25">
        <f>SUMIF(Table1[[ October 2026 ]],"&gt;0",Table1[[ October 2026 ]])</f>
        <v>2900</v>
      </c>
      <c r="AG30" s="25">
        <f>SUMIF(Table1[[ November 2026 ]],"&gt;0",Table1[[ November 2026 ]])</f>
        <v>2700</v>
      </c>
      <c r="AH30" s="25">
        <f>SUMIF(Table1[[ December 2026 ]],"&gt;0",Table1[[ December 2026 ]])</f>
        <v>3000</v>
      </c>
      <c r="AI30" s="25">
        <f>SUMIF(Table1[[ January 2027 ]],"&gt;0",Table1[[ January 2027 ]])</f>
        <v>2750</v>
      </c>
      <c r="AJ30" s="25">
        <f>SUMIF(Table1[[ February 2027 ]],"&gt;0",Table1[[ February 2027 ]])</f>
        <v>3050</v>
      </c>
      <c r="AK30" s="25">
        <f>SUMIF(Table1[[ March 2027 ]],"&gt;0",Table1[[ March 2027 ]])</f>
        <v>2700</v>
      </c>
      <c r="AL30" s="25">
        <f>SUMIF(Table1[[ April 2027 ]],"&gt;0",Table1[[ April 2027 ]])</f>
        <v>2750</v>
      </c>
      <c r="AM30" s="25">
        <f>SUMIF(Table1[[ May 2027 ]],"&gt;0",Table1[[ May 2027 ]])</f>
        <v>2730</v>
      </c>
      <c r="AN30" s="25">
        <f>SUMIF(Table1[[ June 2027 ]],"&gt;0",Table1[[ June 2027 ]])</f>
        <v>2780</v>
      </c>
      <c r="AO30" s="25">
        <f>SUMIF(Table1[[ July 2026 ]],"&gt;0",Table1[[ July 2026 ]])</f>
        <v>3030</v>
      </c>
      <c r="AP30" s="25">
        <f>SUMIF(Table1[[ August 2026 ]],"&gt;0",Table1[[ August 2026 ]])</f>
        <v>3000</v>
      </c>
      <c r="AQ30" s="25">
        <f>SUMIF(Table1[[ September 2026 ]],"&gt;0",Table1[[ September 2026 ]])</f>
        <v>2950</v>
      </c>
      <c r="AR30" s="25">
        <f>SUMIF(Table1[[ October 2026 ]],"&gt;0",Table1[[ October 2026 ]])</f>
        <v>2900</v>
      </c>
      <c r="AS30" s="25">
        <f>SUMIF(Table1[[ November 2026 ]],"&gt;0",Table1[[ November 2026 ]])</f>
        <v>2700</v>
      </c>
      <c r="AT30" s="25">
        <f>SUMIF(Table1[[ December 2026 ]],"&gt;0",Table1[[ December 2026 ]])</f>
        <v>3000</v>
      </c>
      <c r="AU30" s="25">
        <f>SUMIF(Table1[[ January 2027 ]],"&gt;0",Table1[[ January 2027 ]])</f>
        <v>2750</v>
      </c>
      <c r="AV30" s="25">
        <f>SUMIF(Table1[[ February 2027 ]],"&gt;0",Table1[[ February 2027 ]])</f>
        <v>3050</v>
      </c>
      <c r="AW30" s="25">
        <f>SUMIF(Table1[[ March 2027 ]],"&gt;0",Table1[[ March 2027 ]])</f>
        <v>2700</v>
      </c>
      <c r="AX30" s="25">
        <f>SUMIF(Table1[[ April 2027 ]],"&gt;0",Table1[[ April 2027 ]])</f>
        <v>2750</v>
      </c>
      <c r="AY30" s="25">
        <f>SUMIF(Table1[[ May 2027 ]],"&gt;0",Table1[[ May 2027 ]])</f>
        <v>2730</v>
      </c>
      <c r="AZ30" s="25">
        <f>SUMIF(Table1[[ June 2027 ]],"&gt;0",Table1[[ June 2027 ]])</f>
        <v>2780</v>
      </c>
    </row>
    <row r="31" spans="2:52" s="17" customFormat="1" ht="25.5" customHeight="1" x14ac:dyDescent="0.2">
      <c r="D31" s="36" t="s">
        <v>0</v>
      </c>
      <c r="E31" s="25">
        <f>SUMIF(Table1[[ July 2024 ]],"&lt;0",Table1[[ July 2024 ]])</f>
        <v>-1970.97</v>
      </c>
      <c r="F31" s="25">
        <f>SUMIF(Table1[[ August 2024]],"&lt;0",Table1[[ August 2024]])</f>
        <v>-2851.9700000000003</v>
      </c>
      <c r="G31" s="25">
        <f>SUMIF(Table1[[ September 2024]],"&lt;0",Table1[[ September 2024]])</f>
        <v>-2921.9700000000003</v>
      </c>
      <c r="H31" s="25">
        <f>SUMIF(Table1[[ October 2024]],"&lt;0",Table1[[ October 2024]])</f>
        <v>-1971.97</v>
      </c>
      <c r="I31" s="25">
        <f>SUMIF(Table1[[ November 2024]],"&lt;0",Table1[[ November 2024]])</f>
        <v>-1961.97</v>
      </c>
      <c r="J31" s="25">
        <f>SUMIF(Table1[[ December 2024]],"&lt;0",Table1[[ December 2024]])</f>
        <v>-1921.97</v>
      </c>
      <c r="K31" s="25">
        <f>SUMIF(Table1[[ January 2025]],"&lt;0",Table1[[ January 2025]])</f>
        <v>-2041.97</v>
      </c>
      <c r="L31" s="25">
        <f>SUMIF(Table1[[ February 2025]],"&lt;0",Table1[[ February 2025]])</f>
        <v>-2031.26</v>
      </c>
      <c r="M31" s="25">
        <f>SUMIF(Table1[[ March 2025]],"&lt;0",Table1[[ March 2025]])</f>
        <v>-1941.6100000000001</v>
      </c>
      <c r="N31" s="25">
        <f>SUMIF(Table1[[ April 2025]],"&lt;0",Table1[[ April 2025]])</f>
        <v>-4046.9699999999993</v>
      </c>
      <c r="O31" s="25">
        <f>SUMIF(Table1[[ May 2025]],"&lt;0",Table1[[ May 2025]])</f>
        <v>-2000.66</v>
      </c>
      <c r="P31" s="25">
        <f>SUMIF(Table1[[ June 2025]],"&lt;0",Table1[[ June 2025]])</f>
        <v>-1957.68</v>
      </c>
      <c r="Q31" s="25">
        <f>SUMIF(Table1[[ July 2025]],"&lt;0",Table1[[ July 2025]])</f>
        <v>-1963.04</v>
      </c>
      <c r="R31" s="25">
        <f>SUMIF(Table1[[ August 2025]],"&lt;0",Table1[[ August 2025]])</f>
        <v>-2848.4</v>
      </c>
      <c r="S31" s="25">
        <f>SUMIF(Table1[[ September 2025]],"&lt;0",Table1[[ September 2025]])</f>
        <v>-2873.76</v>
      </c>
      <c r="T31" s="25">
        <f>SUMIF(Table1[[ October 2025]],"&lt;0",Table1[[ October 2025]])</f>
        <v>-1979.1100000000001</v>
      </c>
      <c r="U31" s="25">
        <f>SUMIF(Table1[[ November 2025]],"&lt;0",Table1[[ November 2025]])</f>
        <v>-2074.4700000000003</v>
      </c>
      <c r="V31" s="25">
        <f>SUMIF(Table1[[ December 2025]],"&lt;0",Table1[[ December 2025]])</f>
        <v>-1989.83</v>
      </c>
      <c r="W31" s="25">
        <f>SUMIF(Table1[[ January 2026]],"&lt;0",Table1[[ January 2026]])</f>
        <v>-1995.18</v>
      </c>
      <c r="X31" s="25">
        <f>SUMIF(Table1[[ February 2026]],"&lt;0",Table1[[ February 2026]])</f>
        <v>-2045.54</v>
      </c>
      <c r="Y31" s="25">
        <f>SUMIF(Table1[[ March 2026 ]],"&lt;0",Table1[[ March 2026 ]])</f>
        <v>-2005.9</v>
      </c>
      <c r="Z31" s="25">
        <f>SUMIF(Table1[[ April 2026 ]],"&lt;0",Table1[[ April 2026 ]])</f>
        <v>-2011.26</v>
      </c>
      <c r="AA31" s="25">
        <f>SUMIF(Table1[[ May 2026 ]],"&lt;0",Table1[[ May 2026 ]])</f>
        <v>-2064.94</v>
      </c>
      <c r="AB31" s="25">
        <f>SUMIF(Table1[[ June 2026 13]],"&lt;0",Table1[[ June 2026 13]])</f>
        <v>-2021.97</v>
      </c>
      <c r="AC31" s="25">
        <f>SUMIF(Table1[[ July 2026 ]],"&lt;0",Table1[[ July 2026 ]])</f>
        <v>-2027.33</v>
      </c>
      <c r="AD31" s="25">
        <f>SUMIF(Table1[[ August 2026 ]],"&lt;0",Table1[[ August 2026 ]])</f>
        <v>-2912.6800000000003</v>
      </c>
      <c r="AE31" s="25">
        <f>SUMIF(Table1[[ September 2026 ]],"&lt;0",Table1[[ September 2026 ]])</f>
        <v>-2938.04</v>
      </c>
      <c r="AF31" s="25">
        <f>SUMIF(Table1[[ October 2026 ]],"&lt;0",Table1[[ October 2026 ]])</f>
        <v>-1968.4</v>
      </c>
      <c r="AG31" s="25">
        <f>SUMIF(Table1[[ November 2026 ]],"&lt;0",Table1[[ November 2026 ]])</f>
        <v>-2063.7600000000002</v>
      </c>
      <c r="AH31" s="25">
        <f>SUMIF(Table1[[ December 2026 ]],"&lt;0",Table1[[ December 2026 ]])</f>
        <v>-1979.1100000000001</v>
      </c>
      <c r="AI31" s="25">
        <f>SUMIF(Table1[[ January 2027 ]],"&lt;0",Table1[[ January 2027 ]])</f>
        <v>-1984.47</v>
      </c>
      <c r="AJ31" s="25">
        <f>SUMIF(Table1[[ February 2027 ]],"&lt;0",Table1[[ February 2027 ]])</f>
        <v>-2034.83</v>
      </c>
      <c r="AK31" s="25">
        <f>SUMIF(Table1[[ March 2027 ]],"&lt;0",Table1[[ March 2027 ]])</f>
        <v>-1995.18</v>
      </c>
      <c r="AL31" s="25">
        <f>SUMIF(Table1[[ April 2027 ]],"&lt;0",Table1[[ April 2027 ]])</f>
        <v>-2000.54</v>
      </c>
      <c r="AM31" s="25">
        <f>SUMIF(Table1[[ May 2027 ]],"&lt;0",Table1[[ May 2027 ]])</f>
        <v>-2054.23</v>
      </c>
      <c r="AN31" s="25">
        <f>SUMIF(Table1[[ June 2027 ]],"&lt;0",Table1[[ June 2027 ]])</f>
        <v>-2011.26</v>
      </c>
      <c r="AO31" s="25">
        <f>SUMIF(Table1[[ July 2026 ]],"&lt;0",Table1[[ July 2026 ]])</f>
        <v>-2027.33</v>
      </c>
      <c r="AP31" s="25">
        <f>SUMIF(Table1[[ August 2026 ]],"&lt;0",Table1[[ August 2026 ]])</f>
        <v>-2912.6800000000003</v>
      </c>
      <c r="AQ31" s="25">
        <f>SUMIF(Table1[[ September 2026 ]],"&lt;0",Table1[[ September 2026 ]])</f>
        <v>-2938.04</v>
      </c>
      <c r="AR31" s="25">
        <f>SUMIF(Table1[[ October 2026 ]],"&lt;0",Table1[[ October 2026 ]])</f>
        <v>-1968.4</v>
      </c>
      <c r="AS31" s="25">
        <f>SUMIF(Table1[[ November 2026 ]],"&lt;0",Table1[[ November 2026 ]])</f>
        <v>-2063.7600000000002</v>
      </c>
      <c r="AT31" s="25">
        <f>SUMIF(Table1[[ December 2026 ]],"&lt;0",Table1[[ December 2026 ]])</f>
        <v>-1979.1100000000001</v>
      </c>
      <c r="AU31" s="25">
        <f>SUMIF(Table1[[ January 2027 ]],"&lt;0",Table1[[ January 2027 ]])</f>
        <v>-1984.47</v>
      </c>
      <c r="AV31" s="25">
        <f>SUMIF(Table1[[ February 2027 ]],"&lt;0",Table1[[ February 2027 ]])</f>
        <v>-2034.83</v>
      </c>
      <c r="AW31" s="25">
        <f>SUMIF(Table1[[ March 2027 ]],"&lt;0",Table1[[ March 2027 ]])</f>
        <v>-1995.18</v>
      </c>
      <c r="AX31" s="25">
        <f>SUMIF(Table1[[ April 2027 ]],"&lt;0",Table1[[ April 2027 ]])</f>
        <v>-2000.54</v>
      </c>
      <c r="AY31" s="25">
        <f>SUMIF(Table1[[ May 2027 ]],"&lt;0",Table1[[ May 2027 ]])</f>
        <v>-2054.23</v>
      </c>
      <c r="AZ31" s="25">
        <f>SUMIF(Table1[[ June 2027 ]],"&lt;0",Table1[[ June 2027 ]])</f>
        <v>-2011.26</v>
      </c>
    </row>
    <row r="32" spans="2:52" ht="25.5" customHeight="1" x14ac:dyDescent="0.25">
      <c r="D32" s="37" t="s">
        <v>1</v>
      </c>
      <c r="E32" s="25">
        <f>E$30+E$31</f>
        <v>1059.03</v>
      </c>
      <c r="F32" s="25">
        <f t="shared" ref="F32:AZ32" si="2">SUM(F$10:F$27)</f>
        <v>148.02999999999997</v>
      </c>
      <c r="G32" s="25">
        <f t="shared" si="2"/>
        <v>28.029999999999973</v>
      </c>
      <c r="H32" s="25">
        <f t="shared" si="2"/>
        <v>928.03000000000065</v>
      </c>
      <c r="I32" s="25">
        <f t="shared" si="2"/>
        <v>738.03</v>
      </c>
      <c r="J32" s="25">
        <f t="shared" si="2"/>
        <v>1078.0300000000007</v>
      </c>
      <c r="K32" s="25">
        <f t="shared" si="2"/>
        <v>708.0300000000002</v>
      </c>
      <c r="L32" s="25">
        <f t="shared" si="2"/>
        <v>1018.7400000000007</v>
      </c>
      <c r="M32" s="25">
        <f t="shared" si="2"/>
        <v>758.3900000000001</v>
      </c>
      <c r="N32" s="25">
        <f t="shared" si="2"/>
        <v>-1296.97</v>
      </c>
      <c r="O32" s="25">
        <f t="shared" si="2"/>
        <v>729.33999999999992</v>
      </c>
      <c r="P32" s="25">
        <f t="shared" si="2"/>
        <v>822.32000000000062</v>
      </c>
      <c r="Q32" s="25">
        <f t="shared" si="2"/>
        <v>1066.9600000000005</v>
      </c>
      <c r="R32" s="25">
        <f t="shared" si="2"/>
        <v>151.59999999999991</v>
      </c>
      <c r="S32" s="25">
        <f t="shared" si="2"/>
        <v>76.240000000000009</v>
      </c>
      <c r="T32" s="25">
        <f t="shared" si="2"/>
        <v>920.89000000000078</v>
      </c>
      <c r="U32" s="25">
        <f t="shared" si="2"/>
        <v>625.53</v>
      </c>
      <c r="V32" s="25">
        <f t="shared" si="2"/>
        <v>1010.1700000000005</v>
      </c>
      <c r="W32" s="25">
        <f t="shared" si="2"/>
        <v>754.81999999999994</v>
      </c>
      <c r="X32" s="25">
        <f t="shared" si="2"/>
        <v>1004.4600000000005</v>
      </c>
      <c r="Y32" s="25">
        <f t="shared" si="2"/>
        <v>694.10000000000014</v>
      </c>
      <c r="Z32" s="25">
        <f t="shared" si="2"/>
        <v>738.74</v>
      </c>
      <c r="AA32" s="25">
        <f t="shared" si="2"/>
        <v>665.06000000000017</v>
      </c>
      <c r="AB32" s="25">
        <f t="shared" si="2"/>
        <v>758.03</v>
      </c>
      <c r="AC32" s="25">
        <f t="shared" si="2"/>
        <v>1002.6700000000005</v>
      </c>
      <c r="AD32" s="25">
        <f t="shared" si="2"/>
        <v>87.319999999999936</v>
      </c>
      <c r="AE32" s="25">
        <f t="shared" si="2"/>
        <v>11.960000000000036</v>
      </c>
      <c r="AF32" s="25">
        <f t="shared" si="2"/>
        <v>931.60000000000082</v>
      </c>
      <c r="AG32" s="25">
        <f t="shared" si="2"/>
        <v>636.24</v>
      </c>
      <c r="AH32" s="25">
        <f t="shared" si="2"/>
        <v>1020.8900000000008</v>
      </c>
      <c r="AI32" s="25">
        <f t="shared" si="2"/>
        <v>765.53</v>
      </c>
      <c r="AJ32" s="25">
        <f t="shared" si="2"/>
        <v>1015.1700000000005</v>
      </c>
      <c r="AK32" s="25">
        <f t="shared" si="2"/>
        <v>704.81999999999994</v>
      </c>
      <c r="AL32" s="25">
        <f t="shared" si="2"/>
        <v>749.45999999999981</v>
      </c>
      <c r="AM32" s="25">
        <f t="shared" si="2"/>
        <v>675.77000000000021</v>
      </c>
      <c r="AN32" s="25">
        <f t="shared" si="2"/>
        <v>768.74000000000024</v>
      </c>
      <c r="AO32" s="25">
        <f t="shared" si="2"/>
        <v>1002.6700000000005</v>
      </c>
      <c r="AP32" s="25">
        <f t="shared" si="2"/>
        <v>87.319999999999936</v>
      </c>
      <c r="AQ32" s="25">
        <f t="shared" si="2"/>
        <v>11.960000000000036</v>
      </c>
      <c r="AR32" s="25">
        <f t="shared" si="2"/>
        <v>931.60000000000082</v>
      </c>
      <c r="AS32" s="25">
        <f t="shared" si="2"/>
        <v>636.24</v>
      </c>
      <c r="AT32" s="25">
        <f t="shared" si="2"/>
        <v>1020.8900000000008</v>
      </c>
      <c r="AU32" s="25">
        <f t="shared" si="2"/>
        <v>765.53</v>
      </c>
      <c r="AV32" s="25">
        <f t="shared" si="2"/>
        <v>1015.1700000000005</v>
      </c>
      <c r="AW32" s="25">
        <f t="shared" si="2"/>
        <v>704.81999999999994</v>
      </c>
      <c r="AX32" s="25">
        <f t="shared" si="2"/>
        <v>749.45999999999981</v>
      </c>
      <c r="AY32" s="25">
        <f t="shared" si="2"/>
        <v>675.77000000000021</v>
      </c>
      <c r="AZ32" s="25">
        <f t="shared" si="2"/>
        <v>768.74000000000024</v>
      </c>
    </row>
    <row r="33" spans="4:52" s="18" customFormat="1" ht="25.5" customHeight="1" x14ac:dyDescent="0.2">
      <c r="D33" s="38" t="s">
        <v>2</v>
      </c>
      <c r="E33" s="26">
        <f>IF(E$30=0,"0",E$32/E$30)</f>
        <v>0.34951485148514849</v>
      </c>
      <c r="F33" s="26">
        <f t="shared" ref="F33:AN33" si="3">IF(F30=0,"0",F32/F30)</f>
        <v>4.9343333333333322E-2</v>
      </c>
      <c r="G33" s="26">
        <f t="shared" si="3"/>
        <v>9.5016949152542281E-3</v>
      </c>
      <c r="H33" s="26">
        <f t="shared" si="3"/>
        <v>0.32001034482758645</v>
      </c>
      <c r="I33" s="26">
        <f t="shared" si="3"/>
        <v>0.27334444444444445</v>
      </c>
      <c r="J33" s="26">
        <f t="shared" si="3"/>
        <v>0.35934333333333357</v>
      </c>
      <c r="K33" s="26">
        <f t="shared" si="3"/>
        <v>0.25746545454545461</v>
      </c>
      <c r="L33" s="26">
        <f t="shared" si="3"/>
        <v>0.33401311475409856</v>
      </c>
      <c r="M33" s="26">
        <f t="shared" si="3"/>
        <v>0.28088518518518524</v>
      </c>
      <c r="N33" s="26">
        <f t="shared" si="3"/>
        <v>-0.47162545454545457</v>
      </c>
      <c r="O33" s="26">
        <f t="shared" si="3"/>
        <v>0.26715750915750913</v>
      </c>
      <c r="P33" s="26">
        <f t="shared" si="3"/>
        <v>0.29579856115107939</v>
      </c>
      <c r="Q33" s="26">
        <f t="shared" si="3"/>
        <v>0.35213201320132032</v>
      </c>
      <c r="R33" s="26">
        <f t="shared" si="3"/>
        <v>5.0533333333333305E-2</v>
      </c>
      <c r="S33" s="26">
        <f t="shared" si="3"/>
        <v>2.5844067796610172E-2</v>
      </c>
      <c r="T33" s="26">
        <f t="shared" si="3"/>
        <v>0.31754827586206924</v>
      </c>
      <c r="U33" s="26">
        <f t="shared" si="3"/>
        <v>0.23167777777777776</v>
      </c>
      <c r="V33" s="26">
        <f t="shared" si="3"/>
        <v>0.33672333333333349</v>
      </c>
      <c r="W33" s="26">
        <f t="shared" si="3"/>
        <v>0.27448</v>
      </c>
      <c r="X33" s="26">
        <f t="shared" si="3"/>
        <v>0.32933114754098375</v>
      </c>
      <c r="Y33" s="26">
        <f t="shared" si="3"/>
        <v>0.25707407407407412</v>
      </c>
      <c r="Z33" s="26">
        <f t="shared" si="3"/>
        <v>0.2686327272727273</v>
      </c>
      <c r="AA33" s="26">
        <f t="shared" si="3"/>
        <v>0.24361172161172168</v>
      </c>
      <c r="AB33" s="26">
        <f t="shared" si="3"/>
        <v>0.2726726618705036</v>
      </c>
      <c r="AC33" s="26">
        <f t="shared" si="3"/>
        <v>0.33091419141914208</v>
      </c>
      <c r="AD33" s="26">
        <f t="shared" si="3"/>
        <v>2.9106666666666645E-2</v>
      </c>
      <c r="AE33" s="26">
        <f t="shared" si="3"/>
        <v>4.0542372881356053E-3</v>
      </c>
      <c r="AF33" s="26">
        <f t="shared" si="3"/>
        <v>0.32124137931034513</v>
      </c>
      <c r="AG33" s="26">
        <f t="shared" si="3"/>
        <v>0.23564444444444443</v>
      </c>
      <c r="AH33" s="26">
        <f t="shared" si="3"/>
        <v>0.34029666666666691</v>
      </c>
      <c r="AI33" s="26">
        <f t="shared" si="3"/>
        <v>0.27837454545454543</v>
      </c>
      <c r="AJ33" s="26">
        <f t="shared" si="3"/>
        <v>0.33284262295081984</v>
      </c>
      <c r="AK33" s="26">
        <f t="shared" si="3"/>
        <v>0.26104444444444441</v>
      </c>
      <c r="AL33" s="26">
        <f t="shared" si="3"/>
        <v>0.27253090909090905</v>
      </c>
      <c r="AM33" s="26">
        <f t="shared" si="3"/>
        <v>0.24753479853479862</v>
      </c>
      <c r="AN33" s="26">
        <f t="shared" si="3"/>
        <v>0.27652517985611519</v>
      </c>
      <c r="AO33" s="26">
        <f t="shared" ref="AO33:AZ33" si="4">IF(AO30=0,"0",AO32/AO30)</f>
        <v>0.33091419141914208</v>
      </c>
      <c r="AP33" s="26">
        <f t="shared" si="4"/>
        <v>2.9106666666666645E-2</v>
      </c>
      <c r="AQ33" s="26">
        <f t="shared" si="4"/>
        <v>4.0542372881356053E-3</v>
      </c>
      <c r="AR33" s="26">
        <f t="shared" si="4"/>
        <v>0.32124137931034513</v>
      </c>
      <c r="AS33" s="26">
        <f t="shared" si="4"/>
        <v>0.23564444444444443</v>
      </c>
      <c r="AT33" s="26">
        <f t="shared" si="4"/>
        <v>0.34029666666666691</v>
      </c>
      <c r="AU33" s="26">
        <f t="shared" si="4"/>
        <v>0.27837454545454543</v>
      </c>
      <c r="AV33" s="26">
        <f t="shared" si="4"/>
        <v>0.33284262295081984</v>
      </c>
      <c r="AW33" s="26">
        <f t="shared" si="4"/>
        <v>0.26104444444444441</v>
      </c>
      <c r="AX33" s="26">
        <f t="shared" si="4"/>
        <v>0.27253090909090905</v>
      </c>
      <c r="AY33" s="26">
        <f t="shared" si="4"/>
        <v>0.24753479853479862</v>
      </c>
      <c r="AZ33" s="26">
        <f t="shared" si="4"/>
        <v>0.27652517985611519</v>
      </c>
    </row>
    <row r="35" spans="4:52" ht="18.75" customHeight="1" x14ac:dyDescent="0.25">
      <c r="E35" s="19"/>
      <c r="F35" s="19"/>
      <c r="G35" s="19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</row>
  </sheetData>
  <mergeCells count="4">
    <mergeCell ref="AO8:AZ8"/>
    <mergeCell ref="E8:P8"/>
    <mergeCell ref="Q8:AB8"/>
    <mergeCell ref="AC8:AN8"/>
  </mergeCells>
  <phoneticPr fontId="13" type="noConversion"/>
  <conditionalFormatting sqref="B10:B1048576">
    <cfRule type="containsText" dxfId="9" priority="9" operator="containsText" text="Income/Revenue">
      <formula>NOT(ISERROR(SEARCH("Income/Revenue",B10)))</formula>
    </cfRule>
    <cfRule type="containsText" dxfId="8" priority="10" operator="containsText" text="Expenses">
      <formula>NOT(ISERROR(SEARCH("Expenses",B10)))</formula>
    </cfRule>
  </conditionalFormatting>
  <conditionalFormatting sqref="C34:C20415">
    <cfRule type="cellIs" dxfId="7" priority="27" operator="greaterThanOrEqual">
      <formula>0</formula>
    </cfRule>
    <cfRule type="cellIs" dxfId="6" priority="28" operator="lessThan">
      <formula>0</formula>
    </cfRule>
  </conditionalFormatting>
  <conditionalFormatting sqref="E3:F6">
    <cfRule type="cellIs" dxfId="5" priority="15" operator="greaterThan">
      <formula>0</formula>
    </cfRule>
    <cfRule type="cellIs" dxfId="4" priority="16" operator="lessThan">
      <formula>0</formula>
    </cfRule>
  </conditionalFormatting>
  <conditionalFormatting sqref="E10:AZ15 E16:G16 I16:AZ16 E17:AZ27">
    <cfRule type="cellIs" dxfId="3" priority="25" operator="greaterThan">
      <formula>0</formula>
    </cfRule>
    <cfRule type="cellIs" dxfId="2" priority="26" operator="lessThan">
      <formula>0</formula>
    </cfRule>
  </conditionalFormatting>
  <conditionalFormatting sqref="E30:AZ33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968D18E0-88FF-4FD7-A8D7-5B98FB93D737}">
          <x14:formula1>
            <xm:f>List!$A$2:$A$4</xm:f>
          </x14:formula1>
          <xm:sqref>B10:B1048576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FDACA-E652-4C67-AE10-EB8914E391A9}">
  <dimension ref="A1:A4"/>
  <sheetViews>
    <sheetView workbookViewId="0">
      <selection activeCell="B15" sqref="B15"/>
    </sheetView>
  </sheetViews>
  <sheetFormatPr defaultRowHeight="15" x14ac:dyDescent="0.25"/>
  <cols>
    <col min="1" max="1" width="22.5703125" customWidth="1"/>
  </cols>
  <sheetData>
    <row r="1" spans="1:1" x14ac:dyDescent="0.25">
      <c r="A1" s="34" t="s">
        <v>6</v>
      </c>
    </row>
    <row r="2" spans="1:1" x14ac:dyDescent="0.25">
      <c r="A2" s="34"/>
    </row>
    <row r="3" spans="1:1" x14ac:dyDescent="0.25">
      <c r="A3" s="34" t="s">
        <v>49</v>
      </c>
    </row>
    <row r="4" spans="1:1" x14ac:dyDescent="0.25">
      <c r="A4" s="34" t="s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C540C7327E6C4FB7DC0BEB3B637250" ma:contentTypeVersion="13" ma:contentTypeDescription="Create a new document." ma:contentTypeScope="" ma:versionID="e1058d7673e9bc9c347f7a41649c3a55">
  <xsd:schema xmlns:xsd="http://www.w3.org/2001/XMLSchema" xmlns:xs="http://www.w3.org/2001/XMLSchema" xmlns:p="http://schemas.microsoft.com/office/2006/metadata/properties" xmlns:ns2="35755ebc-51dd-4487-8d32-5e588fc93b47" xmlns:ns3="d6abd239-a23b-4104-9bf7-850ff0ba729f" targetNamespace="http://schemas.microsoft.com/office/2006/metadata/properties" ma:root="true" ma:fieldsID="396944144265bbe20976b9af6fb8d1b8" ns2:_="" ns3:_="">
    <xsd:import namespace="35755ebc-51dd-4487-8d32-5e588fc93b47"/>
    <xsd:import namespace="d6abd239-a23b-4104-9bf7-850ff0ba72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755ebc-51dd-4487-8d32-5e588fc93b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c598e8f-5f9f-4ca6-a08d-a1061f5729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abd239-a23b-4104-9bf7-850ff0ba729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62bb21a-03aa-42ee-bb2c-b82c0bd150ce}" ma:internalName="TaxCatchAll" ma:showField="CatchAllData" ma:web="d6abd239-a23b-4104-9bf7-850ff0ba72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5755ebc-51dd-4487-8d32-5e588fc93b47">
      <Terms xmlns="http://schemas.microsoft.com/office/infopath/2007/PartnerControls"/>
    </lcf76f155ced4ddcb4097134ff3c332f>
    <TaxCatchAll xmlns="d6abd239-a23b-4104-9bf7-850ff0ba729f" xsi:nil="true"/>
  </documentManagement>
</p:properties>
</file>

<file path=customXml/itemProps1.xml><?xml version="1.0" encoding="utf-8"?>
<ds:datastoreItem xmlns:ds="http://schemas.openxmlformats.org/officeDocument/2006/customXml" ds:itemID="{EB646E3C-9111-4CD2-802D-D3481B777F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6B6751-EEE7-4C02-BC70-799CFEEDC0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755ebc-51dd-4487-8d32-5e588fc93b47"/>
    <ds:schemaRef ds:uri="d6abd239-a23b-4104-9bf7-850ff0ba72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23974D-308D-41AF-BCC9-3E36C8EFAEC7}">
  <ds:schemaRefs>
    <ds:schemaRef ds:uri="d6abd239-a23b-4104-9bf7-850ff0ba729f"/>
    <ds:schemaRef ds:uri="http://purl.org/dc/terms/"/>
    <ds:schemaRef ds:uri="35755ebc-51dd-4487-8d32-5e588fc93b47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Profit and Loss Forecast</vt:lpstr>
      <vt:lpstr>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Lewin</dc:creator>
  <cp:lastModifiedBy>Nick Lewin</cp:lastModifiedBy>
  <dcterms:created xsi:type="dcterms:W3CDTF">2025-04-10T02:02:50Z</dcterms:created>
  <dcterms:modified xsi:type="dcterms:W3CDTF">2025-04-10T05:54:34Z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0x010100E5C540C7327E6C4FB7DC0BEB3B637250</vt:lpwstr>
  </property>
  <property fmtid="{D5CDD505-2E9C-101B-9397-08002B2CF9AE}" pid="3" name="MediaServiceImageTags">
    <vt:lpwstr/>
  </property>
</Properties>
</file>